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Laura Mullen\Documents\Budgets\2026\"/>
    </mc:Choice>
  </mc:AlternateContent>
  <xr:revisionPtr revIDLastSave="0" documentId="8_{4514E9B0-FE1B-41E2-B33C-133A906B0CDB}" xr6:coauthVersionLast="47" xr6:coauthVersionMax="47" xr10:uidLastSave="{00000000-0000-0000-0000-000000000000}"/>
  <bookViews>
    <workbookView xWindow="-120" yWindow="-120" windowWidth="29040" windowHeight="15720" activeTab="1" xr2:uid="{6DBAF7DC-D83D-41FA-AC4A-112B6018F97D}"/>
  </bookViews>
  <sheets>
    <sheet name="Sheet1" sheetId="1" r:id="rId1"/>
    <sheet name="Condensed" sheetId="7" r:id="rId2"/>
    <sheet name="SLD" sheetId="4" r:id="rId3"/>
    <sheet name="Recon" sheetId="5" r:id="rId4"/>
    <sheet name="COM" sheetId="6" r:id="rId5"/>
    <sheet name="Thriving" sheetId="2" r:id="rId6"/>
    <sheet name="Min. Grps" sheetId="3" r:id="rId7"/>
    <sheet name="CPM" sheetId="8" r:id="rId8"/>
    <sheet name="Steering" sheetId="9" r:id="rId9"/>
  </sheets>
  <definedNames>
    <definedName name="condensed">Sheet1!#REF!</definedName>
    <definedName name="_xlnm.Print_Area" localSheetId="4">COM!$A$1:$F$15</definedName>
    <definedName name="_xlnm.Print_Area" localSheetId="1">Condensed!$A$2:$U$80</definedName>
    <definedName name="_xlnm.Print_Area" localSheetId="7">CPM!$A$1:$E$10</definedName>
    <definedName name="_xlnm.Print_Area" localSheetId="6">'Min. Grps'!$A$1:$E$24</definedName>
    <definedName name="_xlnm.Print_Area" localSheetId="3">Recon!$A$1:$E$33</definedName>
    <definedName name="_xlnm.Print_Area" localSheetId="0">Sheet1!$A$1:$R$251</definedName>
    <definedName name="_xlnm.Print_Area" localSheetId="2">SLD!$A$1:$O$16</definedName>
    <definedName name="_xlnm.Print_Area" localSheetId="8">Steering!$A$1:$E$16</definedName>
    <definedName name="_xlnm.Print_Area" localSheetId="5">Thriving!$A$1:$G$12</definedName>
    <definedName name="_xlnm.Print_Titles" localSheetId="1">Condensed!$1:$2</definedName>
    <definedName name="_xlnm.Print_Titles" localSheetId="0">Sheet1!$4:$4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4" i="1" l="1"/>
  <c r="D141" i="1"/>
  <c r="D131" i="1"/>
  <c r="C9" i="1"/>
  <c r="C61" i="1"/>
  <c r="D186" i="1"/>
  <c r="U59" i="7"/>
  <c r="U58" i="7"/>
  <c r="U56" i="7"/>
  <c r="U55" i="7"/>
  <c r="U54" i="7"/>
  <c r="U50" i="7"/>
  <c r="U49" i="7"/>
  <c r="U48" i="7"/>
  <c r="U44" i="7"/>
  <c r="U43" i="7"/>
  <c r="U42" i="7"/>
  <c r="U41" i="7"/>
  <c r="U40" i="7"/>
  <c r="U39" i="7"/>
  <c r="U38" i="7"/>
  <c r="U37" i="7"/>
  <c r="U36" i="7"/>
  <c r="U34" i="7"/>
  <c r="U33" i="7"/>
  <c r="U32" i="7"/>
  <c r="U30" i="7"/>
  <c r="T10" i="7"/>
  <c r="T9" i="7"/>
  <c r="T7" i="7"/>
  <c r="T6" i="7"/>
  <c r="AA79" i="7"/>
  <c r="AA80" i="7" s="1"/>
  <c r="AA75" i="7"/>
  <c r="AA78" i="7"/>
  <c r="AA77" i="7"/>
  <c r="AA74" i="7"/>
  <c r="AA73" i="7"/>
  <c r="AA72" i="7"/>
  <c r="AA71" i="7"/>
  <c r="AA70" i="7"/>
  <c r="P72" i="7"/>
  <c r="P74" i="7"/>
  <c r="P75" i="7" s="1"/>
  <c r="P71" i="7"/>
  <c r="P70" i="7"/>
  <c r="Q34" i="1"/>
  <c r="Q15" i="7" l="1"/>
  <c r="Q23" i="7"/>
  <c r="Q22" i="7"/>
  <c r="Q47" i="1"/>
  <c r="B34" i="1"/>
  <c r="B84" i="1"/>
  <c r="D171" i="1"/>
  <c r="G12" i="2"/>
  <c r="G11" i="2"/>
  <c r="F10" i="2"/>
  <c r="F12" i="2" s="1"/>
  <c r="E12" i="2"/>
  <c r="D12" i="2"/>
  <c r="C12" i="2"/>
  <c r="C11" i="2"/>
  <c r="C10" i="2"/>
  <c r="C9" i="2"/>
  <c r="C8" i="2"/>
  <c r="C7" i="2"/>
  <c r="F6" i="2"/>
  <c r="E6" i="2"/>
  <c r="D6" i="2"/>
  <c r="G7" i="2"/>
  <c r="G8" i="2"/>
  <c r="O21" i="7"/>
  <c r="M34" i="1"/>
  <c r="K116" i="1"/>
  <c r="K123" i="1"/>
  <c r="K122" i="1"/>
  <c r="K121" i="1"/>
  <c r="K117" i="1"/>
  <c r="K115" i="1"/>
  <c r="J50" i="1"/>
  <c r="I50" i="1"/>
  <c r="I245" i="1" s="1"/>
  <c r="H50" i="1"/>
  <c r="H245" i="1" s="1"/>
  <c r="G50" i="1"/>
  <c r="F50" i="1"/>
  <c r="E50" i="1"/>
  <c r="D50" i="1"/>
  <c r="C50" i="1"/>
  <c r="B50" i="1"/>
  <c r="O245" i="1"/>
  <c r="N245" i="1"/>
  <c r="M245" i="1"/>
  <c r="L245" i="1"/>
  <c r="S30" i="7"/>
  <c r="M44" i="1"/>
  <c r="K47" i="1"/>
  <c r="K46" i="1"/>
  <c r="K45" i="1"/>
  <c r="K44" i="1"/>
  <c r="K48" i="1"/>
  <c r="M48" i="1"/>
  <c r="M47" i="1"/>
  <c r="M43" i="1"/>
  <c r="M50" i="1" s="1"/>
  <c r="B227" i="1"/>
  <c r="D205" i="1"/>
  <c r="D203" i="1"/>
  <c r="R203" i="1"/>
  <c r="R205" i="1"/>
  <c r="D197" i="1"/>
  <c r="R198" i="1"/>
  <c r="D200" i="1"/>
  <c r="R200" i="1"/>
  <c r="R197" i="1"/>
  <c r="D199" i="1"/>
  <c r="D193" i="1"/>
  <c r="D133" i="1"/>
  <c r="D71" i="1"/>
  <c r="D15" i="1"/>
  <c r="U53" i="7"/>
  <c r="P59" i="7"/>
  <c r="Q59" i="7" s="1"/>
  <c r="B230" i="1"/>
  <c r="B225" i="1"/>
  <c r="K155" i="1"/>
  <c r="K154" i="1"/>
  <c r="D145" i="1"/>
  <c r="P43" i="7"/>
  <c r="Q43" i="7" s="1"/>
  <c r="P35" i="7"/>
  <c r="Q35" i="7" s="1"/>
  <c r="O34" i="7"/>
  <c r="P34" i="7"/>
  <c r="U14" i="7"/>
  <c r="P14" i="7"/>
  <c r="T14" i="7" s="1"/>
  <c r="P24" i="7"/>
  <c r="Q24" i="7" s="1"/>
  <c r="P23" i="7"/>
  <c r="P22" i="7"/>
  <c r="P21" i="7"/>
  <c r="Q21" i="7" s="1"/>
  <c r="P20" i="7"/>
  <c r="Q20" i="7" s="1"/>
  <c r="P16" i="7"/>
  <c r="Q16" i="7" s="1"/>
  <c r="P15" i="7"/>
  <c r="P10" i="7"/>
  <c r="Q10" i="7" s="1"/>
  <c r="P9" i="7"/>
  <c r="Q9" i="7" s="1"/>
  <c r="P8" i="7"/>
  <c r="Q8" i="7" s="1"/>
  <c r="P7" i="7"/>
  <c r="Q7" i="7" s="1"/>
  <c r="P6" i="7"/>
  <c r="Q6" i="7" s="1"/>
  <c r="O9" i="7"/>
  <c r="P5" i="7"/>
  <c r="O75" i="7"/>
  <c r="K90" i="1"/>
  <c r="K87" i="1"/>
  <c r="K86" i="1"/>
  <c r="K85" i="1"/>
  <c r="K84" i="1"/>
  <c r="M71" i="1"/>
  <c r="L29" i="1"/>
  <c r="L39" i="1" s="1"/>
  <c r="Q14" i="7" l="1"/>
  <c r="Q34" i="7"/>
  <c r="Q5" i="7"/>
  <c r="Q12" i="7" s="1"/>
  <c r="Q25" i="7"/>
  <c r="Q50" i="1"/>
  <c r="P30" i="7" s="1"/>
  <c r="R204" i="1"/>
  <c r="O77" i="7"/>
  <c r="O12" i="7"/>
  <c r="O17" i="7" s="1"/>
  <c r="P25" i="7"/>
  <c r="P12" i="7"/>
  <c r="P17" i="7" s="1"/>
  <c r="O45" i="7"/>
  <c r="O25" i="7"/>
  <c r="O60" i="7"/>
  <c r="Q237" i="1"/>
  <c r="P49" i="7" s="1"/>
  <c r="Q49" i="7" s="1"/>
  <c r="Q231" i="1"/>
  <c r="P48" i="7" s="1"/>
  <c r="Q222" i="1"/>
  <c r="P44" i="7" s="1"/>
  <c r="Q44" i="7" s="1"/>
  <c r="Q218" i="1"/>
  <c r="P42" i="7" s="1"/>
  <c r="Q42" i="7" s="1"/>
  <c r="Q206" i="1"/>
  <c r="P55" i="7" s="1"/>
  <c r="Q55" i="7" s="1"/>
  <c r="Q201" i="1"/>
  <c r="P54" i="7" s="1"/>
  <c r="Q54" i="7" s="1"/>
  <c r="Q195" i="1"/>
  <c r="P56" i="7" s="1"/>
  <c r="Q56" i="7" s="1"/>
  <c r="Q190" i="1"/>
  <c r="P58" i="7" s="1"/>
  <c r="Q58" i="7" s="1"/>
  <c r="Q187" i="1"/>
  <c r="P57" i="7" s="1"/>
  <c r="Q57" i="7" s="1"/>
  <c r="Q183" i="1"/>
  <c r="P41" i="7" s="1"/>
  <c r="Q41" i="7" s="1"/>
  <c r="Q178" i="1"/>
  <c r="P40" i="7" s="1"/>
  <c r="Q40" i="7" s="1"/>
  <c r="Q160" i="1"/>
  <c r="P39" i="7" s="1"/>
  <c r="Q39" i="7" s="1"/>
  <c r="Q156" i="1"/>
  <c r="P38" i="7" s="1"/>
  <c r="Q38" i="7" s="1"/>
  <c r="Q146" i="1"/>
  <c r="P52" i="7" s="1"/>
  <c r="Q52" i="7" s="1"/>
  <c r="Q138" i="1"/>
  <c r="P51" i="7" s="1"/>
  <c r="Q51" i="7" s="1"/>
  <c r="Q128" i="1"/>
  <c r="P37" i="7" s="1"/>
  <c r="Q37" i="7" s="1"/>
  <c r="Q124" i="1"/>
  <c r="P36" i="7" s="1"/>
  <c r="Q36" i="7" s="1"/>
  <c r="Q118" i="1"/>
  <c r="Q108" i="1"/>
  <c r="Q110" i="1" s="1"/>
  <c r="Q98" i="1"/>
  <c r="P33" i="7" s="1"/>
  <c r="Q33" i="7" s="1"/>
  <c r="Q88" i="1"/>
  <c r="Q76" i="1"/>
  <c r="P50" i="7" s="1"/>
  <c r="Q50" i="7" s="1"/>
  <c r="Q67" i="1"/>
  <c r="P31" i="7" s="1"/>
  <c r="Q31" i="7" s="1"/>
  <c r="Q37" i="1"/>
  <c r="Q27" i="1"/>
  <c r="Q18" i="1"/>
  <c r="Q11" i="1"/>
  <c r="Q17" i="7" l="1"/>
  <c r="T30" i="7"/>
  <c r="Q30" i="7"/>
  <c r="Q26" i="7"/>
  <c r="P77" i="7"/>
  <c r="Q48" i="7"/>
  <c r="Q60" i="7" s="1"/>
  <c r="P60" i="7"/>
  <c r="P78" i="7" s="1"/>
  <c r="Q91" i="1"/>
  <c r="Q111" i="1" s="1"/>
  <c r="P32" i="7"/>
  <c r="Q32" i="7" s="1"/>
  <c r="O26" i="7"/>
  <c r="O64" i="7" s="1"/>
  <c r="P26" i="7"/>
  <c r="P64" i="7" s="1"/>
  <c r="O78" i="7"/>
  <c r="O79" i="7" s="1"/>
  <c r="O80" i="7" s="1"/>
  <c r="O61" i="7"/>
  <c r="Q240" i="1"/>
  <c r="Q242" i="1" s="1"/>
  <c r="Q148" i="1"/>
  <c r="Q150" i="1" s="1"/>
  <c r="Q29" i="1"/>
  <c r="Q39" i="1" s="1"/>
  <c r="Q248" i="1" s="1"/>
  <c r="Q208" i="1"/>
  <c r="Q210" i="1" s="1"/>
  <c r="M237" i="1"/>
  <c r="M231" i="1"/>
  <c r="M222" i="1"/>
  <c r="M218" i="1"/>
  <c r="M206" i="1"/>
  <c r="M201" i="1"/>
  <c r="M195" i="1"/>
  <c r="M190" i="1"/>
  <c r="M187" i="1"/>
  <c r="M183" i="1"/>
  <c r="M178" i="1"/>
  <c r="M160" i="1"/>
  <c r="M156" i="1"/>
  <c r="M146" i="1"/>
  <c r="M138" i="1"/>
  <c r="M128" i="1"/>
  <c r="M124" i="1"/>
  <c r="M118" i="1"/>
  <c r="M108" i="1"/>
  <c r="M110" i="1" s="1"/>
  <c r="M98" i="1"/>
  <c r="M88" i="1"/>
  <c r="M91" i="1" s="1"/>
  <c r="M67" i="1"/>
  <c r="M76" i="1"/>
  <c r="M27" i="1"/>
  <c r="M37" i="1"/>
  <c r="M18" i="1"/>
  <c r="M11" i="1"/>
  <c r="K15" i="1"/>
  <c r="K7" i="1"/>
  <c r="K8" i="1"/>
  <c r="S6" i="7" s="1"/>
  <c r="K10" i="1"/>
  <c r="S7" i="7" s="1"/>
  <c r="K16" i="1"/>
  <c r="P16" i="1" s="1"/>
  <c r="K20" i="1"/>
  <c r="S16" i="7" s="1"/>
  <c r="K22" i="1"/>
  <c r="S15" i="7" s="1"/>
  <c r="K25" i="1"/>
  <c r="K27" i="1" s="1"/>
  <c r="K32" i="1"/>
  <c r="P32" i="1" s="1"/>
  <c r="K33" i="1"/>
  <c r="K34" i="1"/>
  <c r="S21" i="7" s="1"/>
  <c r="K35" i="1"/>
  <c r="P35" i="1" s="1"/>
  <c r="K36" i="1"/>
  <c r="S23" i="7" s="1"/>
  <c r="K43" i="1"/>
  <c r="P44" i="1"/>
  <c r="K69" i="1"/>
  <c r="P69" i="1" s="1"/>
  <c r="K70" i="1"/>
  <c r="P70" i="1" s="1"/>
  <c r="K72" i="1"/>
  <c r="P72" i="1" s="1"/>
  <c r="K73" i="1"/>
  <c r="P73" i="1" s="1"/>
  <c r="K74" i="1"/>
  <c r="P74" i="1" s="1"/>
  <c r="K75" i="1"/>
  <c r="P75" i="1" s="1"/>
  <c r="K53" i="1"/>
  <c r="P53" i="1" s="1"/>
  <c r="K54" i="1"/>
  <c r="P54" i="1" s="1"/>
  <c r="K55" i="1"/>
  <c r="P55" i="1" s="1"/>
  <c r="K56" i="1"/>
  <c r="P56" i="1" s="1"/>
  <c r="K57" i="1"/>
  <c r="P57" i="1" s="1"/>
  <c r="K58" i="1"/>
  <c r="P58" i="1" s="1"/>
  <c r="K59" i="1"/>
  <c r="P59" i="1" s="1"/>
  <c r="K60" i="1"/>
  <c r="P60" i="1" s="1"/>
  <c r="K63" i="1"/>
  <c r="P63" i="1" s="1"/>
  <c r="K64" i="1"/>
  <c r="K65" i="1"/>
  <c r="K66" i="1"/>
  <c r="P66" i="1" s="1"/>
  <c r="P45" i="1"/>
  <c r="P46" i="1"/>
  <c r="K49" i="1"/>
  <c r="P49" i="1" s="1"/>
  <c r="K80" i="1"/>
  <c r="K81" i="1"/>
  <c r="P81" i="1" s="1"/>
  <c r="K82" i="1"/>
  <c r="P82" i="1" s="1"/>
  <c r="K83" i="1"/>
  <c r="P83" i="1" s="1"/>
  <c r="P84" i="1"/>
  <c r="P85" i="1"/>
  <c r="P86" i="1"/>
  <c r="P87" i="1"/>
  <c r="P90" i="1"/>
  <c r="K94" i="1"/>
  <c r="P94" i="1" s="1"/>
  <c r="K95" i="1"/>
  <c r="P95" i="1" s="1"/>
  <c r="K96" i="1"/>
  <c r="P96" i="1" s="1"/>
  <c r="K97" i="1"/>
  <c r="P97" i="1" s="1"/>
  <c r="K101" i="1"/>
  <c r="P101" i="1" s="1"/>
  <c r="K102" i="1"/>
  <c r="P102" i="1" s="1"/>
  <c r="K103" i="1"/>
  <c r="K104" i="1"/>
  <c r="P104" i="1" s="1"/>
  <c r="K105" i="1"/>
  <c r="P105" i="1" s="1"/>
  <c r="K106" i="1"/>
  <c r="P106" i="1" s="1"/>
  <c r="K107" i="1"/>
  <c r="P107" i="1" s="1"/>
  <c r="S35" i="7"/>
  <c r="U35" i="7" s="1"/>
  <c r="P117" i="1"/>
  <c r="P121" i="1"/>
  <c r="P122" i="1"/>
  <c r="P123" i="1"/>
  <c r="K128" i="1"/>
  <c r="K131" i="1"/>
  <c r="P131" i="1" s="1"/>
  <c r="K132" i="1"/>
  <c r="P132" i="1" s="1"/>
  <c r="K134" i="1"/>
  <c r="P134" i="1" s="1"/>
  <c r="K135" i="1"/>
  <c r="P135" i="1" s="1"/>
  <c r="K136" i="1"/>
  <c r="P136" i="1" s="1"/>
  <c r="K137" i="1"/>
  <c r="P137" i="1" s="1"/>
  <c r="K141" i="1"/>
  <c r="K142" i="1"/>
  <c r="P142" i="1" s="1"/>
  <c r="K143" i="1"/>
  <c r="P143" i="1" s="1"/>
  <c r="K144" i="1"/>
  <c r="P144" i="1" s="1"/>
  <c r="P155" i="1"/>
  <c r="K159" i="1"/>
  <c r="P159" i="1" s="1"/>
  <c r="K163" i="1"/>
  <c r="P163" i="1" s="1"/>
  <c r="K164" i="1"/>
  <c r="P164" i="1" s="1"/>
  <c r="K165" i="1"/>
  <c r="P165" i="1" s="1"/>
  <c r="K166" i="1"/>
  <c r="P166" i="1" s="1"/>
  <c r="K167" i="1"/>
  <c r="P167" i="1" s="1"/>
  <c r="K168" i="1"/>
  <c r="P168" i="1" s="1"/>
  <c r="K169" i="1"/>
  <c r="P169" i="1" s="1"/>
  <c r="K170" i="1"/>
  <c r="P170" i="1" s="1"/>
  <c r="K171" i="1"/>
  <c r="P171" i="1" s="1"/>
  <c r="K172" i="1"/>
  <c r="P172" i="1" s="1"/>
  <c r="K173" i="1"/>
  <c r="P173" i="1" s="1"/>
  <c r="K174" i="1"/>
  <c r="P174" i="1" s="1"/>
  <c r="K175" i="1"/>
  <c r="P175" i="1" s="1"/>
  <c r="K176" i="1"/>
  <c r="P176" i="1" s="1"/>
  <c r="K177" i="1"/>
  <c r="P177" i="1" s="1"/>
  <c r="K181" i="1"/>
  <c r="P181" i="1" s="1"/>
  <c r="K182" i="1"/>
  <c r="P182" i="1" s="1"/>
  <c r="K186" i="1"/>
  <c r="K187" i="1" s="1"/>
  <c r="K189" i="1"/>
  <c r="K190" i="1" s="1"/>
  <c r="S58" i="7" s="1"/>
  <c r="K192" i="1"/>
  <c r="K194" i="1"/>
  <c r="P194" i="1" s="1"/>
  <c r="K198" i="1"/>
  <c r="P198" i="1" s="1"/>
  <c r="K204" i="1"/>
  <c r="P204" i="1" s="1"/>
  <c r="K213" i="1"/>
  <c r="P213" i="1" s="1"/>
  <c r="K214" i="1"/>
  <c r="P214" i="1" s="1"/>
  <c r="K215" i="1"/>
  <c r="P215" i="1" s="1"/>
  <c r="K216" i="1"/>
  <c r="P216" i="1" s="1"/>
  <c r="K217" i="1"/>
  <c r="S43" i="7" s="1"/>
  <c r="K221" i="1"/>
  <c r="P221" i="1" s="1"/>
  <c r="K226" i="1"/>
  <c r="P226" i="1" s="1"/>
  <c r="K228" i="1"/>
  <c r="P228" i="1" s="1"/>
  <c r="K229" i="1"/>
  <c r="P229" i="1" s="1"/>
  <c r="K233" i="1"/>
  <c r="P233" i="1" s="1"/>
  <c r="K234" i="1"/>
  <c r="P234" i="1" s="1"/>
  <c r="K235" i="1"/>
  <c r="P235" i="1" s="1"/>
  <c r="K236" i="1"/>
  <c r="P236" i="1" s="1"/>
  <c r="B37" i="1"/>
  <c r="K225" i="1"/>
  <c r="P225" i="1" s="1"/>
  <c r="N74" i="7"/>
  <c r="N72" i="7"/>
  <c r="N71" i="7"/>
  <c r="N70" i="7"/>
  <c r="N77" i="7"/>
  <c r="N60" i="7"/>
  <c r="N78" i="7" s="1"/>
  <c r="N45" i="7"/>
  <c r="N25" i="7"/>
  <c r="N9" i="7"/>
  <c r="N12" i="7" s="1"/>
  <c r="N17" i="7" s="1"/>
  <c r="M7" i="7"/>
  <c r="C11" i="1"/>
  <c r="C17" i="3"/>
  <c r="E17" i="3" s="1"/>
  <c r="K62" i="1"/>
  <c r="P62" i="1" s="1"/>
  <c r="K71" i="1"/>
  <c r="P71" i="1" s="1"/>
  <c r="G88" i="1"/>
  <c r="G91" i="1" s="1"/>
  <c r="L79" i="7"/>
  <c r="L75" i="7"/>
  <c r="L9" i="7"/>
  <c r="L12" i="7" s="1"/>
  <c r="L17" i="7" s="1"/>
  <c r="D17" i="1"/>
  <c r="K17" i="1" s="1"/>
  <c r="L54" i="7"/>
  <c r="L60" i="7" s="1"/>
  <c r="J218" i="1"/>
  <c r="I218" i="1"/>
  <c r="H218" i="1"/>
  <c r="G218" i="1"/>
  <c r="F218" i="1"/>
  <c r="E218" i="1"/>
  <c r="D218" i="1"/>
  <c r="C218" i="1"/>
  <c r="B218" i="1"/>
  <c r="N218" i="1"/>
  <c r="H18" i="1"/>
  <c r="G18" i="1"/>
  <c r="F18" i="1"/>
  <c r="F37" i="1"/>
  <c r="E18" i="1"/>
  <c r="E37" i="1"/>
  <c r="D37" i="1"/>
  <c r="B88" i="1"/>
  <c r="B91" i="1" s="1"/>
  <c r="C88" i="1"/>
  <c r="B98" i="1"/>
  <c r="B156" i="1"/>
  <c r="B160" i="1"/>
  <c r="B178" i="1"/>
  <c r="B183" i="1"/>
  <c r="B222" i="1"/>
  <c r="C76" i="1"/>
  <c r="C108" i="1"/>
  <c r="C110" i="1" s="1"/>
  <c r="C98" i="1"/>
  <c r="C118" i="1"/>
  <c r="C124" i="1"/>
  <c r="C128" i="1"/>
  <c r="C138" i="1"/>
  <c r="C146" i="1"/>
  <c r="C156" i="1"/>
  <c r="C160" i="1"/>
  <c r="C178" i="1"/>
  <c r="C183" i="1"/>
  <c r="C187" i="1"/>
  <c r="C195" i="1"/>
  <c r="C201" i="1"/>
  <c r="C206" i="1"/>
  <c r="C222" i="1"/>
  <c r="C231" i="1"/>
  <c r="C237" i="1"/>
  <c r="F76" i="1"/>
  <c r="H76" i="1"/>
  <c r="D178" i="1"/>
  <c r="S72" i="7" s="1"/>
  <c r="S73" i="7"/>
  <c r="I76" i="1"/>
  <c r="I67" i="1"/>
  <c r="I108" i="1"/>
  <c r="I110" i="1" s="1"/>
  <c r="I98" i="1"/>
  <c r="I91" i="1"/>
  <c r="I118" i="1"/>
  <c r="I124" i="1"/>
  <c r="I128" i="1"/>
  <c r="I138" i="1"/>
  <c r="I146" i="1"/>
  <c r="I156" i="1"/>
  <c r="I160" i="1"/>
  <c r="I178" i="1"/>
  <c r="I183" i="1"/>
  <c r="I187" i="1"/>
  <c r="I195" i="1"/>
  <c r="I201" i="1"/>
  <c r="I206" i="1"/>
  <c r="I222" i="1"/>
  <c r="I231" i="1"/>
  <c r="I237" i="1"/>
  <c r="J118" i="1"/>
  <c r="L45" i="7"/>
  <c r="X66" i="7"/>
  <c r="M10" i="7"/>
  <c r="H9" i="7"/>
  <c r="H12" i="7" s="1"/>
  <c r="H17" i="7" s="1"/>
  <c r="M8" i="7"/>
  <c r="M6" i="7"/>
  <c r="M5" i="7"/>
  <c r="K193" i="1"/>
  <c r="P193" i="1" s="1"/>
  <c r="D15" i="9"/>
  <c r="C14" i="9"/>
  <c r="E14" i="9" s="1"/>
  <c r="D10" i="9"/>
  <c r="E10" i="9" s="1"/>
  <c r="C6" i="9"/>
  <c r="E6" i="9" s="1"/>
  <c r="C7" i="9"/>
  <c r="E7" i="9" s="1"/>
  <c r="C8" i="9"/>
  <c r="C9" i="9"/>
  <c r="E9" i="9" s="1"/>
  <c r="C6" i="8"/>
  <c r="E6" i="8" s="1"/>
  <c r="C7" i="8"/>
  <c r="E7" i="8" s="1"/>
  <c r="C8" i="8"/>
  <c r="E8" i="8" s="1"/>
  <c r="C9" i="8"/>
  <c r="E9" i="8" s="1"/>
  <c r="C9" i="3"/>
  <c r="E9" i="3" s="1"/>
  <c r="C10" i="3"/>
  <c r="E10" i="3" s="1"/>
  <c r="C11" i="3"/>
  <c r="E11" i="3" s="1"/>
  <c r="C12" i="3"/>
  <c r="E12" i="3" s="1"/>
  <c r="C13" i="3"/>
  <c r="E13" i="3" s="1"/>
  <c r="C14" i="3"/>
  <c r="E14" i="3" s="1"/>
  <c r="C15" i="3"/>
  <c r="E15" i="3" s="1"/>
  <c r="C16" i="3"/>
  <c r="E16" i="3" s="1"/>
  <c r="C18" i="3"/>
  <c r="E18" i="3" s="1"/>
  <c r="C19" i="3"/>
  <c r="E19" i="3" s="1"/>
  <c r="C20" i="3"/>
  <c r="E20" i="3" s="1"/>
  <c r="C21" i="3"/>
  <c r="E21" i="3" s="1"/>
  <c r="C22" i="3"/>
  <c r="E22" i="3" s="1"/>
  <c r="C5" i="2"/>
  <c r="G5" i="2" s="1"/>
  <c r="C6" i="2"/>
  <c r="G6" i="2" s="1"/>
  <c r="G9" i="2"/>
  <c r="G10" i="2"/>
  <c r="D14" i="6"/>
  <c r="C13" i="6"/>
  <c r="F13" i="6" s="1"/>
  <c r="C12" i="6"/>
  <c r="F12" i="6" s="1"/>
  <c r="C11" i="6"/>
  <c r="F11" i="6" s="1"/>
  <c r="C10" i="6"/>
  <c r="F10" i="6" s="1"/>
  <c r="C9" i="6"/>
  <c r="F9" i="6" s="1"/>
  <c r="C8" i="6"/>
  <c r="F8" i="6" s="1"/>
  <c r="C7" i="6"/>
  <c r="E7" i="6"/>
  <c r="E14" i="6" s="1"/>
  <c r="C6" i="6"/>
  <c r="C17" i="5"/>
  <c r="C18" i="5" s="1"/>
  <c r="C11" i="5"/>
  <c r="E11" i="5" s="1"/>
  <c r="C12" i="5"/>
  <c r="E12" i="5" s="1"/>
  <c r="C13" i="5"/>
  <c r="E13" i="5" s="1"/>
  <c r="C5" i="5"/>
  <c r="E5" i="5" s="1"/>
  <c r="C6" i="5"/>
  <c r="E6" i="5" s="1"/>
  <c r="C7" i="5"/>
  <c r="E7" i="5" s="1"/>
  <c r="D18" i="5"/>
  <c r="D14" i="5"/>
  <c r="D8" i="5"/>
  <c r="C14" i="4"/>
  <c r="D14" i="4"/>
  <c r="O14" i="4" s="1"/>
  <c r="D13" i="4"/>
  <c r="O13" i="4" s="1"/>
  <c r="D12" i="4"/>
  <c r="O12" i="4" s="1"/>
  <c r="D11" i="4"/>
  <c r="O11" i="4" s="1"/>
  <c r="D10" i="4"/>
  <c r="O10" i="4" s="1"/>
  <c r="D9" i="4"/>
  <c r="O9" i="4" s="1"/>
  <c r="D8" i="4"/>
  <c r="O8" i="4" s="1"/>
  <c r="D7" i="4"/>
  <c r="O7" i="4" s="1"/>
  <c r="D6" i="4"/>
  <c r="O6" i="4" s="1"/>
  <c r="K230" i="1"/>
  <c r="P230" i="1" s="1"/>
  <c r="K227" i="1"/>
  <c r="P227" i="1" s="1"/>
  <c r="K203" i="1"/>
  <c r="K200" i="1"/>
  <c r="P200" i="1" s="1"/>
  <c r="K197" i="1"/>
  <c r="K199" i="1"/>
  <c r="P199" i="1" s="1"/>
  <c r="L128" i="1"/>
  <c r="L138" i="1"/>
  <c r="L146" i="1"/>
  <c r="N138" i="1"/>
  <c r="N146" i="1"/>
  <c r="D138" i="1"/>
  <c r="K145" i="1"/>
  <c r="P145" i="1" s="1"/>
  <c r="J138" i="1"/>
  <c r="J146" i="1"/>
  <c r="H138" i="1"/>
  <c r="H146" i="1"/>
  <c r="G138" i="1"/>
  <c r="G146" i="1"/>
  <c r="F138" i="1"/>
  <c r="F146" i="1"/>
  <c r="E138" i="1"/>
  <c r="E146" i="1"/>
  <c r="B138" i="1"/>
  <c r="B146" i="1"/>
  <c r="B27" i="1"/>
  <c r="B18" i="1"/>
  <c r="B11" i="1"/>
  <c r="C27" i="1"/>
  <c r="C18" i="1"/>
  <c r="D27" i="1"/>
  <c r="D11" i="1"/>
  <c r="E27" i="1"/>
  <c r="E11" i="1"/>
  <c r="F27" i="1"/>
  <c r="F11" i="1"/>
  <c r="G27" i="1"/>
  <c r="G11" i="1"/>
  <c r="H27" i="1"/>
  <c r="H11" i="1"/>
  <c r="I27" i="1"/>
  <c r="I18" i="1"/>
  <c r="I11" i="1"/>
  <c r="J27" i="1"/>
  <c r="J18" i="1"/>
  <c r="J11" i="1"/>
  <c r="N27" i="1"/>
  <c r="N18" i="1"/>
  <c r="N11" i="1"/>
  <c r="M16" i="7"/>
  <c r="M23" i="7"/>
  <c r="M22" i="7"/>
  <c r="M21" i="7"/>
  <c r="M20" i="7"/>
  <c r="H25" i="7"/>
  <c r="H79" i="7"/>
  <c r="H75" i="7"/>
  <c r="H60" i="7"/>
  <c r="H45" i="7"/>
  <c r="N88" i="1"/>
  <c r="N91" i="1" s="1"/>
  <c r="E91" i="1"/>
  <c r="J91" i="1"/>
  <c r="H91" i="1"/>
  <c r="F91" i="1"/>
  <c r="D91" i="1"/>
  <c r="N37" i="1"/>
  <c r="N50" i="1"/>
  <c r="N76" i="1"/>
  <c r="N67" i="1"/>
  <c r="N108" i="1"/>
  <c r="N110" i="1" s="1"/>
  <c r="N98" i="1"/>
  <c r="N118" i="1"/>
  <c r="N124" i="1"/>
  <c r="N128" i="1"/>
  <c r="N156" i="1"/>
  <c r="N160" i="1"/>
  <c r="N178" i="1"/>
  <c r="N183" i="1"/>
  <c r="N187" i="1"/>
  <c r="N195" i="1"/>
  <c r="N201" i="1"/>
  <c r="N206" i="1"/>
  <c r="N190" i="1"/>
  <c r="N222" i="1"/>
  <c r="N231" i="1"/>
  <c r="N237" i="1"/>
  <c r="P7" i="1"/>
  <c r="B76" i="1"/>
  <c r="B67" i="1"/>
  <c r="B108" i="1"/>
  <c r="B110" i="1" s="1"/>
  <c r="B118" i="1"/>
  <c r="B124" i="1"/>
  <c r="B128" i="1"/>
  <c r="B187" i="1"/>
  <c r="B195" i="1"/>
  <c r="B201" i="1"/>
  <c r="B206" i="1"/>
  <c r="B237" i="1"/>
  <c r="D76" i="1"/>
  <c r="D67" i="1"/>
  <c r="D108" i="1"/>
  <c r="D110" i="1" s="1"/>
  <c r="D98" i="1"/>
  <c r="D118" i="1"/>
  <c r="D124" i="1"/>
  <c r="D128" i="1"/>
  <c r="D156" i="1"/>
  <c r="D160" i="1"/>
  <c r="D183" i="1"/>
  <c r="D187" i="1"/>
  <c r="D190" i="1"/>
  <c r="D222" i="1"/>
  <c r="D231" i="1"/>
  <c r="D237" i="1"/>
  <c r="E76" i="1"/>
  <c r="E67" i="1"/>
  <c r="E108" i="1"/>
  <c r="E110" i="1" s="1"/>
  <c r="E98" i="1"/>
  <c r="E118" i="1"/>
  <c r="E124" i="1"/>
  <c r="E128" i="1"/>
  <c r="E156" i="1"/>
  <c r="E160" i="1"/>
  <c r="E178" i="1"/>
  <c r="E183" i="1"/>
  <c r="E187" i="1"/>
  <c r="E195" i="1"/>
  <c r="E201" i="1"/>
  <c r="E206" i="1"/>
  <c r="E222" i="1"/>
  <c r="E231" i="1"/>
  <c r="E237" i="1"/>
  <c r="F67" i="1"/>
  <c r="F108" i="1"/>
  <c r="F110" i="1" s="1"/>
  <c r="F98" i="1"/>
  <c r="F118" i="1"/>
  <c r="F124" i="1"/>
  <c r="F128" i="1"/>
  <c r="F156" i="1"/>
  <c r="F160" i="1"/>
  <c r="F178" i="1"/>
  <c r="F183" i="1"/>
  <c r="F187" i="1"/>
  <c r="F195" i="1"/>
  <c r="F201" i="1"/>
  <c r="F206" i="1"/>
  <c r="F222" i="1"/>
  <c r="F231" i="1"/>
  <c r="F237" i="1"/>
  <c r="G76" i="1"/>
  <c r="G67" i="1"/>
  <c r="G108" i="1"/>
  <c r="G110" i="1" s="1"/>
  <c r="G98" i="1"/>
  <c r="G118" i="1"/>
  <c r="G124" i="1"/>
  <c r="G128" i="1"/>
  <c r="G156" i="1"/>
  <c r="G160" i="1"/>
  <c r="G178" i="1"/>
  <c r="G183" i="1"/>
  <c r="G187" i="1"/>
  <c r="G195" i="1"/>
  <c r="G201" i="1"/>
  <c r="G206" i="1"/>
  <c r="G222" i="1"/>
  <c r="G231" i="1"/>
  <c r="G237" i="1"/>
  <c r="H67" i="1"/>
  <c r="H108" i="1"/>
  <c r="H110" i="1" s="1"/>
  <c r="H98" i="1"/>
  <c r="H118" i="1"/>
  <c r="H124" i="1"/>
  <c r="H128" i="1"/>
  <c r="H156" i="1"/>
  <c r="H160" i="1"/>
  <c r="H178" i="1"/>
  <c r="H183" i="1"/>
  <c r="H187" i="1"/>
  <c r="H195" i="1"/>
  <c r="H201" i="1"/>
  <c r="H206" i="1"/>
  <c r="H222" i="1"/>
  <c r="H231" i="1"/>
  <c r="H237" i="1"/>
  <c r="J76" i="1"/>
  <c r="J67" i="1"/>
  <c r="J108" i="1"/>
  <c r="J110" i="1" s="1"/>
  <c r="J98" i="1"/>
  <c r="J124" i="1"/>
  <c r="J128" i="1"/>
  <c r="J156" i="1"/>
  <c r="J160" i="1"/>
  <c r="J178" i="1"/>
  <c r="J183" i="1"/>
  <c r="J187" i="1"/>
  <c r="J195" i="1"/>
  <c r="J201" i="1"/>
  <c r="J206" i="1"/>
  <c r="J222" i="1"/>
  <c r="J231" i="1"/>
  <c r="J237" i="1"/>
  <c r="J37" i="1"/>
  <c r="C37" i="1"/>
  <c r="G37" i="1"/>
  <c r="H37" i="1"/>
  <c r="I37" i="1"/>
  <c r="M48" i="7"/>
  <c r="M49" i="7"/>
  <c r="M50" i="7"/>
  <c r="M51" i="7"/>
  <c r="M52" i="7"/>
  <c r="M55" i="7"/>
  <c r="M56" i="7"/>
  <c r="M57" i="7"/>
  <c r="M58" i="7"/>
  <c r="M5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4" i="7"/>
  <c r="O11" i="1"/>
  <c r="O18" i="1"/>
  <c r="O27" i="1"/>
  <c r="O36" i="1"/>
  <c r="O37" i="1" s="1"/>
  <c r="O50" i="1"/>
  <c r="O69" i="1"/>
  <c r="O76" i="1" s="1"/>
  <c r="O67" i="1"/>
  <c r="O108" i="1"/>
  <c r="O110" i="1" s="1"/>
  <c r="O98" i="1"/>
  <c r="O91" i="1"/>
  <c r="O118" i="1"/>
  <c r="O124" i="1"/>
  <c r="O128" i="1"/>
  <c r="O138" i="1"/>
  <c r="O146" i="1"/>
  <c r="O156" i="1"/>
  <c r="O160" i="1"/>
  <c r="O178" i="1"/>
  <c r="O183" i="1"/>
  <c r="O187" i="1"/>
  <c r="O195" i="1"/>
  <c r="O201" i="1"/>
  <c r="O206" i="1"/>
  <c r="O190" i="1"/>
  <c r="O218" i="1"/>
  <c r="O222" i="1"/>
  <c r="O231" i="1"/>
  <c r="O237" i="1"/>
  <c r="J190" i="1"/>
  <c r="I190" i="1"/>
  <c r="H190" i="1"/>
  <c r="G190" i="1"/>
  <c r="F190" i="1"/>
  <c r="E190" i="1"/>
  <c r="C190" i="1"/>
  <c r="B190" i="1"/>
  <c r="B61" i="7"/>
  <c r="N15" i="4"/>
  <c r="M15" i="4"/>
  <c r="K15" i="4"/>
  <c r="J15" i="4"/>
  <c r="I15" i="4"/>
  <c r="H15" i="4"/>
  <c r="G15" i="4"/>
  <c r="F15" i="4"/>
  <c r="E15" i="4"/>
  <c r="E5" i="3"/>
  <c r="A2" i="1"/>
  <c r="T58" i="7" l="1"/>
  <c r="Q61" i="7"/>
  <c r="P79" i="7"/>
  <c r="P80" i="7" s="1"/>
  <c r="Q45" i="7"/>
  <c r="U6" i="7"/>
  <c r="T35" i="7"/>
  <c r="U15" i="7"/>
  <c r="T15" i="7"/>
  <c r="T43" i="7"/>
  <c r="U16" i="7"/>
  <c r="T16" i="7"/>
  <c r="U7" i="7"/>
  <c r="U21" i="7"/>
  <c r="T21" i="7"/>
  <c r="U23" i="7"/>
  <c r="T23" i="7"/>
  <c r="Q245" i="1"/>
  <c r="Q249" i="1" s="1"/>
  <c r="Q251" i="1" s="1"/>
  <c r="P43" i="1"/>
  <c r="K50" i="1"/>
  <c r="C270" i="1" s="1"/>
  <c r="P45" i="7"/>
  <c r="W45" i="7" s="1"/>
  <c r="O65" i="7"/>
  <c r="G111" i="1"/>
  <c r="G245" i="1" s="1"/>
  <c r="L80" i="7"/>
  <c r="N79" i="7"/>
  <c r="N26" i="7"/>
  <c r="N64" i="7" s="1"/>
  <c r="N61" i="7"/>
  <c r="N65" i="7" s="1"/>
  <c r="M54" i="7"/>
  <c r="M60" i="7" s="1"/>
  <c r="N75" i="7"/>
  <c r="M240" i="1"/>
  <c r="M242" i="1" s="1"/>
  <c r="P80" i="1"/>
  <c r="K88" i="1"/>
  <c r="K91" i="1" s="1"/>
  <c r="M111" i="1"/>
  <c r="E111" i="1"/>
  <c r="M29" i="1"/>
  <c r="M39" i="1" s="1"/>
  <c r="M248" i="1" s="1"/>
  <c r="N111" i="1"/>
  <c r="I111" i="1"/>
  <c r="H111" i="1"/>
  <c r="D111" i="1"/>
  <c r="F111" i="1"/>
  <c r="P36" i="1"/>
  <c r="J111" i="1"/>
  <c r="B111" i="1"/>
  <c r="P116" i="1"/>
  <c r="P127" i="1"/>
  <c r="S22" i="7"/>
  <c r="D195" i="1"/>
  <c r="P186" i="1"/>
  <c r="D20" i="5"/>
  <c r="S34" i="7"/>
  <c r="B266" i="1"/>
  <c r="P115" i="1"/>
  <c r="P20" i="1"/>
  <c r="I148" i="1"/>
  <c r="I150" i="1" s="1"/>
  <c r="K156" i="1"/>
  <c r="S38" i="7" s="1"/>
  <c r="C148" i="1"/>
  <c r="C150" i="1" s="1"/>
  <c r="C67" i="1"/>
  <c r="S71" i="7" s="1"/>
  <c r="M148" i="1"/>
  <c r="M150" i="1" s="1"/>
  <c r="O148" i="1"/>
  <c r="O150" i="1" s="1"/>
  <c r="D146" i="1"/>
  <c r="D148" i="1" s="1"/>
  <c r="D150" i="1" s="1"/>
  <c r="B264" i="1"/>
  <c r="J29" i="1"/>
  <c r="S10" i="7"/>
  <c r="E240" i="1"/>
  <c r="E242" i="1" s="1"/>
  <c r="I29" i="1"/>
  <c r="F148" i="1"/>
  <c r="F150" i="1" s="1"/>
  <c r="F245" i="1" s="1"/>
  <c r="K183" i="1"/>
  <c r="S41" i="7" s="1"/>
  <c r="O39" i="1"/>
  <c r="O248" i="1" s="1"/>
  <c r="J208" i="1"/>
  <c r="J210" i="1" s="1"/>
  <c r="H240" i="1"/>
  <c r="H242" i="1" s="1"/>
  <c r="N240" i="1"/>
  <c r="N242" i="1" s="1"/>
  <c r="J148" i="1"/>
  <c r="J150" i="1" s="1"/>
  <c r="J245" i="1" s="1"/>
  <c r="K222" i="1"/>
  <c r="P222" i="1" s="1"/>
  <c r="O111" i="1"/>
  <c r="B148" i="1"/>
  <c r="B150" i="1" s="1"/>
  <c r="E14" i="5"/>
  <c r="J240" i="1"/>
  <c r="J242" i="1" s="1"/>
  <c r="K118" i="1"/>
  <c r="P118" i="1" s="1"/>
  <c r="N148" i="1"/>
  <c r="N150" i="1" s="1"/>
  <c r="F7" i="6"/>
  <c r="K18" i="1"/>
  <c r="O240" i="1"/>
  <c r="O242" i="1" s="1"/>
  <c r="K124" i="1"/>
  <c r="P124" i="1" s="1"/>
  <c r="G208" i="1"/>
  <c r="G210" i="1" s="1"/>
  <c r="B208" i="1"/>
  <c r="B210" i="1" s="1"/>
  <c r="M208" i="1"/>
  <c r="M210" i="1" s="1"/>
  <c r="H148" i="1"/>
  <c r="H150" i="1" s="1"/>
  <c r="L148" i="1"/>
  <c r="F240" i="1"/>
  <c r="F242" i="1" s="1"/>
  <c r="K98" i="1"/>
  <c r="G29" i="1"/>
  <c r="C11" i="9"/>
  <c r="F39" i="1"/>
  <c r="F248" i="1" s="1"/>
  <c r="C240" i="1"/>
  <c r="C242" i="1" s="1"/>
  <c r="O208" i="1"/>
  <c r="O210" i="1" s="1"/>
  <c r="G240" i="1"/>
  <c r="G242" i="1" s="1"/>
  <c r="D206" i="1"/>
  <c r="F208" i="1"/>
  <c r="F210" i="1" s="1"/>
  <c r="E29" i="1"/>
  <c r="E148" i="1"/>
  <c r="E150" i="1" s="1"/>
  <c r="E245" i="1" s="1"/>
  <c r="K37" i="1"/>
  <c r="P34" i="1"/>
  <c r="P8" i="1"/>
  <c r="P203" i="1"/>
  <c r="K201" i="1"/>
  <c r="E15" i="9"/>
  <c r="J39" i="1"/>
  <c r="J248" i="1" s="1"/>
  <c r="K160" i="1"/>
  <c r="S39" i="7" s="1"/>
  <c r="N208" i="1"/>
  <c r="N210" i="1" s="1"/>
  <c r="E8" i="5"/>
  <c r="E10" i="8"/>
  <c r="I208" i="1"/>
  <c r="I210" i="1" s="1"/>
  <c r="K195" i="1"/>
  <c r="P195" i="1" s="1"/>
  <c r="B231" i="1"/>
  <c r="B240" i="1" s="1"/>
  <c r="B242" i="1" s="1"/>
  <c r="B273" i="1"/>
  <c r="E208" i="1"/>
  <c r="E210" i="1" s="1"/>
  <c r="K205" i="1"/>
  <c r="K206" i="1" s="1"/>
  <c r="K76" i="1"/>
  <c r="P76" i="1" s="1"/>
  <c r="K178" i="1"/>
  <c r="S40" i="7" s="1"/>
  <c r="K133" i="1"/>
  <c r="C208" i="1"/>
  <c r="C210" i="1" s="1"/>
  <c r="K61" i="1"/>
  <c r="K67" i="1" s="1"/>
  <c r="S31" i="7" s="1"/>
  <c r="U31" i="7" s="1"/>
  <c r="H208" i="1"/>
  <c r="H210" i="1" s="1"/>
  <c r="G148" i="1"/>
  <c r="G150" i="1" s="1"/>
  <c r="K237" i="1"/>
  <c r="P237" i="1" s="1"/>
  <c r="I39" i="1"/>
  <c r="I248" i="1" s="1"/>
  <c r="H39" i="1"/>
  <c r="H248" i="1" s="1"/>
  <c r="C14" i="6"/>
  <c r="K9" i="1"/>
  <c r="P9" i="1" s="1"/>
  <c r="D240" i="1"/>
  <c r="D242" i="1" s="1"/>
  <c r="I240" i="1"/>
  <c r="I242" i="1" s="1"/>
  <c r="K218" i="1"/>
  <c r="S42" i="7" s="1"/>
  <c r="D11" i="9"/>
  <c r="K146" i="1"/>
  <c r="P146" i="1" s="1"/>
  <c r="K108" i="1"/>
  <c r="K110" i="1" s="1"/>
  <c r="P110" i="1" s="1"/>
  <c r="P64" i="1"/>
  <c r="K231" i="1"/>
  <c r="B271" i="1"/>
  <c r="E18" i="5"/>
  <c r="E23" i="3"/>
  <c r="P17" i="1"/>
  <c r="B265" i="1"/>
  <c r="P197" i="1"/>
  <c r="S37" i="7"/>
  <c r="P128" i="1"/>
  <c r="C8" i="5"/>
  <c r="F6" i="6"/>
  <c r="D18" i="1"/>
  <c r="D29" i="1" s="1"/>
  <c r="C14" i="5"/>
  <c r="C15" i="9"/>
  <c r="S5" i="7"/>
  <c r="T5" i="7" s="1"/>
  <c r="C10" i="8"/>
  <c r="E39" i="1"/>
  <c r="E248" i="1" s="1"/>
  <c r="L24" i="7"/>
  <c r="H29" i="1"/>
  <c r="E17" i="5"/>
  <c r="E8" i="9"/>
  <c r="E11" i="9" s="1"/>
  <c r="S24" i="7"/>
  <c r="P141" i="1"/>
  <c r="P192" i="1"/>
  <c r="D201" i="1"/>
  <c r="N39" i="1"/>
  <c r="N248" i="1" s="1"/>
  <c r="S70" i="7"/>
  <c r="F29" i="1"/>
  <c r="S59" i="7"/>
  <c r="P65" i="1"/>
  <c r="P103" i="1"/>
  <c r="G39" i="1"/>
  <c r="G248" i="1" s="1"/>
  <c r="B29" i="1"/>
  <c r="B263" i="1"/>
  <c r="C23" i="3"/>
  <c r="C6" i="3" s="1"/>
  <c r="E6" i="3" s="1"/>
  <c r="S9" i="7"/>
  <c r="P15" i="1"/>
  <c r="M9" i="7"/>
  <c r="M12" i="7" s="1"/>
  <c r="M17" i="7" s="1"/>
  <c r="L61" i="7"/>
  <c r="L65" i="7" s="1"/>
  <c r="H80" i="7"/>
  <c r="H26" i="7"/>
  <c r="H64" i="7" s="1"/>
  <c r="H61" i="7"/>
  <c r="H65" i="7" s="1"/>
  <c r="C39" i="1"/>
  <c r="C29" i="1"/>
  <c r="C91" i="1"/>
  <c r="C111" i="1" s="1"/>
  <c r="N29" i="1"/>
  <c r="B39" i="1"/>
  <c r="B261" i="1" s="1"/>
  <c r="P154" i="1"/>
  <c r="D15" i="4"/>
  <c r="D1048574" i="4" s="1"/>
  <c r="O15" i="4"/>
  <c r="M45" i="7"/>
  <c r="C245" i="1" l="1"/>
  <c r="U24" i="7"/>
  <c r="T24" i="7"/>
  <c r="T42" i="7"/>
  <c r="T40" i="7"/>
  <c r="T59" i="7"/>
  <c r="T37" i="7"/>
  <c r="T39" i="7"/>
  <c r="U22" i="7"/>
  <c r="T22" i="7"/>
  <c r="P61" i="7"/>
  <c r="U5" i="7"/>
  <c r="T38" i="7"/>
  <c r="T31" i="7"/>
  <c r="T34" i="7"/>
  <c r="T41" i="7"/>
  <c r="U9" i="7"/>
  <c r="U10" i="7"/>
  <c r="B245" i="1"/>
  <c r="O67" i="7"/>
  <c r="H67" i="7"/>
  <c r="N80" i="7"/>
  <c r="N67" i="7"/>
  <c r="O249" i="1"/>
  <c r="O251" i="1" s="1"/>
  <c r="E249" i="1"/>
  <c r="E251" i="1" s="1"/>
  <c r="G249" i="1"/>
  <c r="G251" i="1" s="1"/>
  <c r="B249" i="1"/>
  <c r="H249" i="1"/>
  <c r="H251" i="1" s="1"/>
  <c r="N249" i="1"/>
  <c r="N251" i="1" s="1"/>
  <c r="M249" i="1"/>
  <c r="M251" i="1" s="1"/>
  <c r="F249" i="1"/>
  <c r="F251" i="1" s="1"/>
  <c r="P98" i="1"/>
  <c r="K111" i="1"/>
  <c r="C275" i="1"/>
  <c r="D275" i="1" s="1"/>
  <c r="P156" i="1"/>
  <c r="P183" i="1"/>
  <c r="S52" i="7"/>
  <c r="U52" i="7" s="1"/>
  <c r="D208" i="1"/>
  <c r="D210" i="1" s="1"/>
  <c r="D245" i="1" s="1"/>
  <c r="C276" i="1"/>
  <c r="C274" i="1"/>
  <c r="B270" i="1"/>
  <c r="D270" i="1" s="1"/>
  <c r="P160" i="1"/>
  <c r="S44" i="7"/>
  <c r="C272" i="1"/>
  <c r="S36" i="7"/>
  <c r="S33" i="7"/>
  <c r="S49" i="7"/>
  <c r="K240" i="1"/>
  <c r="K242" i="1" s="1"/>
  <c r="P108" i="1"/>
  <c r="C20" i="5"/>
  <c r="B274" i="1"/>
  <c r="P218" i="1"/>
  <c r="P50" i="1"/>
  <c r="E20" i="5"/>
  <c r="P133" i="1"/>
  <c r="K138" i="1"/>
  <c r="K208" i="1"/>
  <c r="K210" i="1" s="1"/>
  <c r="S56" i="7"/>
  <c r="S32" i="7"/>
  <c r="F14" i="6"/>
  <c r="P67" i="1"/>
  <c r="S50" i="7"/>
  <c r="K11" i="1"/>
  <c r="K29" i="1" s="1"/>
  <c r="S8" i="7"/>
  <c r="T8" i="7" s="1"/>
  <c r="C273" i="1"/>
  <c r="D273" i="1" s="1"/>
  <c r="P61" i="1"/>
  <c r="S48" i="7"/>
  <c r="P88" i="1"/>
  <c r="P231" i="1"/>
  <c r="P178" i="1"/>
  <c r="D39" i="1"/>
  <c r="D248" i="1" s="1"/>
  <c r="P91" i="1"/>
  <c r="S57" i="7"/>
  <c r="U57" i="7" s="1"/>
  <c r="B276" i="1"/>
  <c r="P187" i="1"/>
  <c r="S54" i="7"/>
  <c r="P201" i="1"/>
  <c r="P205" i="1"/>
  <c r="L25" i="7"/>
  <c r="L26" i="7" s="1"/>
  <c r="L64" i="7" s="1"/>
  <c r="L67" i="7" s="1"/>
  <c r="M24" i="7"/>
  <c r="M25" i="7" s="1"/>
  <c r="M26" i="7" s="1"/>
  <c r="M64" i="7" s="1"/>
  <c r="M61" i="7"/>
  <c r="M65" i="7" s="1"/>
  <c r="B262" i="1"/>
  <c r="B267" i="1" s="1"/>
  <c r="C248" i="1"/>
  <c r="B248" i="1"/>
  <c r="P33" i="1"/>
  <c r="S20" i="7"/>
  <c r="C271" i="1"/>
  <c r="D271" i="1" s="1"/>
  <c r="T245" i="1" l="1"/>
  <c r="T248" i="1"/>
  <c r="T57" i="7"/>
  <c r="T56" i="7"/>
  <c r="P65" i="7"/>
  <c r="T32" i="7"/>
  <c r="T33" i="7"/>
  <c r="T36" i="7"/>
  <c r="T48" i="7"/>
  <c r="T44" i="7"/>
  <c r="T52" i="7"/>
  <c r="T49" i="7"/>
  <c r="T54" i="7"/>
  <c r="T12" i="7"/>
  <c r="T17" i="7" s="1"/>
  <c r="U20" i="7"/>
  <c r="U25" i="7" s="1"/>
  <c r="T20" i="7"/>
  <c r="T25" i="7" s="1"/>
  <c r="T50" i="7"/>
  <c r="P111" i="1"/>
  <c r="J249" i="1"/>
  <c r="J251" i="1" s="1"/>
  <c r="S74" i="7"/>
  <c r="U8" i="7"/>
  <c r="U12" i="7" s="1"/>
  <c r="U17" i="7" s="1"/>
  <c r="M67" i="7"/>
  <c r="P242" i="1"/>
  <c r="K39" i="1"/>
  <c r="P29" i="1"/>
  <c r="P240" i="1"/>
  <c r="D274" i="1"/>
  <c r="C249" i="1"/>
  <c r="C251" i="1" s="1"/>
  <c r="S77" i="7"/>
  <c r="P11" i="1"/>
  <c r="S12" i="7"/>
  <c r="X12" i="7" s="1"/>
  <c r="K148" i="1"/>
  <c r="B272" i="1"/>
  <c r="S51" i="7"/>
  <c r="U51" i="7" s="1"/>
  <c r="P138" i="1"/>
  <c r="P208" i="1"/>
  <c r="P210" i="1"/>
  <c r="I249" i="1"/>
  <c r="I251" i="1" s="1"/>
  <c r="S55" i="7"/>
  <c r="P206" i="1"/>
  <c r="D276" i="1"/>
  <c r="C277" i="1"/>
  <c r="B251" i="1"/>
  <c r="C263" i="1"/>
  <c r="C267" i="1"/>
  <c r="C264" i="1"/>
  <c r="C262" i="1"/>
  <c r="C265" i="1"/>
  <c r="C266" i="1"/>
  <c r="S25" i="7"/>
  <c r="X25" i="7" s="1"/>
  <c r="C261" i="1"/>
  <c r="S45" i="7"/>
  <c r="X45" i="7" s="1"/>
  <c r="U45" i="7" l="1"/>
  <c r="T45" i="7"/>
  <c r="U60" i="7"/>
  <c r="T51" i="7"/>
  <c r="P67" i="7"/>
  <c r="T55" i="7"/>
  <c r="T26" i="7"/>
  <c r="U26" i="7"/>
  <c r="U64" i="7" s="1"/>
  <c r="S17" i="7"/>
  <c r="X17" i="7" s="1"/>
  <c r="P39" i="1"/>
  <c r="K248" i="1"/>
  <c r="P248" i="1" s="1"/>
  <c r="D249" i="1"/>
  <c r="D251" i="1" s="1"/>
  <c r="S75" i="7"/>
  <c r="X75" i="7" s="1"/>
  <c r="D272" i="1"/>
  <c r="B277" i="1"/>
  <c r="H276" i="1" s="1"/>
  <c r="P148" i="1"/>
  <c r="K150" i="1"/>
  <c r="K245" i="1" s="1"/>
  <c r="S60" i="7"/>
  <c r="X60" i="7" s="1"/>
  <c r="U61" i="7" l="1"/>
  <c r="U65" i="7" s="1"/>
  <c r="U67" i="7" s="1"/>
  <c r="T60" i="7"/>
  <c r="T61" i="7" s="1"/>
  <c r="T249" i="1"/>
  <c r="S26" i="7"/>
  <c r="X26" i="7" s="1"/>
  <c r="P150" i="1"/>
  <c r="P245" i="1" s="1"/>
  <c r="K249" i="1"/>
  <c r="P249" i="1" s="1"/>
  <c r="H272" i="1"/>
  <c r="D277" i="1"/>
  <c r="H270" i="1"/>
  <c r="H275" i="1"/>
  <c r="H273" i="1"/>
  <c r="F276" i="1"/>
  <c r="J276" i="1" s="1"/>
  <c r="F272" i="1"/>
  <c r="J272" i="1" s="1"/>
  <c r="F271" i="1"/>
  <c r="J271" i="1" s="1"/>
  <c r="F270" i="1"/>
  <c r="J270" i="1" s="1"/>
  <c r="F273" i="1"/>
  <c r="J273" i="1" s="1"/>
  <c r="H271" i="1"/>
  <c r="F277" i="1"/>
  <c r="J277" i="1" s="1"/>
  <c r="H274" i="1"/>
  <c r="F275" i="1"/>
  <c r="J275" i="1" s="1"/>
  <c r="F274" i="1"/>
  <c r="J274" i="1" s="1"/>
  <c r="S78" i="7"/>
  <c r="S79" i="7" s="1"/>
  <c r="S61" i="7"/>
  <c r="X61" i="7" s="1"/>
  <c r="K251" i="1" l="1"/>
  <c r="T251" i="1"/>
  <c r="S64" i="7"/>
  <c r="X64" i="7" s="1"/>
  <c r="C278" i="1"/>
  <c r="E271" i="1"/>
  <c r="B278" i="1"/>
  <c r="H277" i="1"/>
  <c r="E277" i="1"/>
  <c r="E274" i="1"/>
  <c r="E273" i="1"/>
  <c r="E270" i="1"/>
  <c r="E272" i="1"/>
  <c r="E276" i="1"/>
  <c r="D278" i="1"/>
  <c r="E275" i="1"/>
  <c r="S65" i="7"/>
  <c r="X65" i="7" s="1"/>
  <c r="X79" i="7"/>
  <c r="S80" i="7"/>
  <c r="X80" i="7" s="1"/>
  <c r="S67" i="7" l="1"/>
  <c r="X67" i="7" s="1"/>
</calcChain>
</file>

<file path=xl/sharedStrings.xml><?xml version="1.0" encoding="utf-8"?>
<sst xmlns="http://schemas.openxmlformats.org/spreadsheetml/2006/main" count="617" uniqueCount="469">
  <si>
    <t>Income</t>
  </si>
  <si>
    <t>Presbytery Operating Income</t>
  </si>
  <si>
    <t>Per Capita Apportionment</t>
  </si>
  <si>
    <t>Shared Ministry Income</t>
  </si>
  <si>
    <t>Total Presbytery</t>
  </si>
  <si>
    <t>Prior Year</t>
  </si>
  <si>
    <t>Per Capita - Prior Year</t>
  </si>
  <si>
    <t>Shared Ministry Inc-Prior Year</t>
  </si>
  <si>
    <t>Total Prior Year</t>
  </si>
  <si>
    <t>Reserves</t>
  </si>
  <si>
    <t>Shared Ministry Reserve</t>
  </si>
  <si>
    <t>Per Capita Reserves</t>
  </si>
  <si>
    <t>Ministry Groups Reserves</t>
  </si>
  <si>
    <t>Total Reserves</t>
  </si>
  <si>
    <t>Total Other Income</t>
  </si>
  <si>
    <t>Total Income</t>
  </si>
  <si>
    <t>Expenses</t>
  </si>
  <si>
    <t>Commission Expenses</t>
  </si>
  <si>
    <t>NWC/Presbytery Fellowship Support</t>
  </si>
  <si>
    <t>Staff Support</t>
  </si>
  <si>
    <t>Total Staff Support</t>
  </si>
  <si>
    <t>Ministry Groups</t>
  </si>
  <si>
    <t>West Side Story-Ministry Grp</t>
  </si>
  <si>
    <t>West Side-MinistryGrpConvener</t>
  </si>
  <si>
    <t>SusquehannaParish-Ministry Grp</t>
  </si>
  <si>
    <t>Susquehann-Mnstry Grp Convener</t>
  </si>
  <si>
    <t>In the Loop-Ministry Grp</t>
  </si>
  <si>
    <t>In Loop-Ministry Grp Convener</t>
  </si>
  <si>
    <t>Bay Area Dis-Min Grp Convener</t>
  </si>
  <si>
    <t>Total Ministry Groups</t>
  </si>
  <si>
    <t>SLD Commission Expenses</t>
  </si>
  <si>
    <t>Team Expense</t>
  </si>
  <si>
    <t>Youth Triennium</t>
  </si>
  <si>
    <t>Resource Center Materials</t>
  </si>
  <si>
    <t>Ministry of Teaching Elders</t>
  </si>
  <si>
    <t>Total Commission Expenses</t>
  </si>
  <si>
    <t>COM TE Background Checks</t>
  </si>
  <si>
    <t>COM Committee Expenses</t>
  </si>
  <si>
    <t>Total COM</t>
  </si>
  <si>
    <t>CPM Candidate Assessment</t>
  </si>
  <si>
    <t>CPM Candidate Scholarships</t>
  </si>
  <si>
    <t>CPM Ordination Exams</t>
  </si>
  <si>
    <t>CPM Committee Expense</t>
  </si>
  <si>
    <t>Total CPM</t>
  </si>
  <si>
    <t>Commission on Reconciliation</t>
  </si>
  <si>
    <t>Central MD Ecumenical Council</t>
  </si>
  <si>
    <t>Ecumenical Institute</t>
  </si>
  <si>
    <t>Total Ecumenical Relations</t>
  </si>
  <si>
    <t>Mission Partnership Funds</t>
  </si>
  <si>
    <t>El Centro-Cuba Partnership</t>
  </si>
  <si>
    <t>Baltimore Dakota Partnership</t>
  </si>
  <si>
    <t>Guatemala Partnership</t>
  </si>
  <si>
    <t>Total Mission Partnership Funds</t>
  </si>
  <si>
    <t>Shared Witness</t>
  </si>
  <si>
    <t>Membershp Fees/Partnersip Sprt</t>
  </si>
  <si>
    <t>Total Shared Witness</t>
  </si>
  <si>
    <t>Total-Commission on Reconciliation</t>
  </si>
  <si>
    <t>GA &amp; Synod Giving</t>
  </si>
  <si>
    <t>General Assembly Per Capita</t>
  </si>
  <si>
    <t>Synod Per Capita Apportionment</t>
  </si>
  <si>
    <t>Total GA &amp; Synod Giving</t>
  </si>
  <si>
    <t>Administration Committee</t>
  </si>
  <si>
    <t>Rent-Faith Presbyterian Church</t>
  </si>
  <si>
    <t>Office Expense</t>
  </si>
  <si>
    <t>Equipment Lease</t>
  </si>
  <si>
    <t>Equipment Purchases</t>
  </si>
  <si>
    <t>Software</t>
  </si>
  <si>
    <t>Office Expenses</t>
  </si>
  <si>
    <t xml:space="preserve">Administration / Personnel </t>
  </si>
  <si>
    <t>Postage</t>
  </si>
  <si>
    <t>Payroll Service</t>
  </si>
  <si>
    <t>Telephone/Internet Access</t>
  </si>
  <si>
    <t>Insurance</t>
  </si>
  <si>
    <t>Staff Development</t>
  </si>
  <si>
    <t>Total Office Expense</t>
  </si>
  <si>
    <t>Communications</t>
  </si>
  <si>
    <t>Print Communications</t>
  </si>
  <si>
    <t>Total Communications</t>
  </si>
  <si>
    <t>Total Admin Staff Support</t>
  </si>
  <si>
    <t>Total Administration Committee</t>
  </si>
  <si>
    <t>Presbytery and its Steering Cabinet</t>
  </si>
  <si>
    <t>Steering Cabinet Expenses</t>
  </si>
  <si>
    <t>Steering Cabinet Consultants</t>
  </si>
  <si>
    <t>Moderator Expenses</t>
  </si>
  <si>
    <t>Administrative Commissions</t>
  </si>
  <si>
    <t>Total Steering Cabinet Activities</t>
  </si>
  <si>
    <t>Gathered Meetings</t>
  </si>
  <si>
    <t>Gathering Team</t>
  </si>
  <si>
    <t>Total Gathered Meeting Expense</t>
  </si>
  <si>
    <t xml:space="preserve">General Presbyter Salary </t>
  </si>
  <si>
    <t>General Presbyter Housing</t>
  </si>
  <si>
    <t>General Presbyter Benefits</t>
  </si>
  <si>
    <t>General Presbyter SECA Offset</t>
  </si>
  <si>
    <t>General Presbyter Cont Educ</t>
  </si>
  <si>
    <t>Total General Presbyter</t>
  </si>
  <si>
    <t>Stated Clerk Salary</t>
  </si>
  <si>
    <t>Stated Clerk FICA</t>
  </si>
  <si>
    <t>Total Stated Clerk</t>
  </si>
  <si>
    <t>Total Presbytery and its Steering Cabinet</t>
  </si>
  <si>
    <t>Total Expenses</t>
  </si>
  <si>
    <t>Thriving Congregations</t>
  </si>
  <si>
    <t>Constitutional/Leadership</t>
  </si>
  <si>
    <t>Administration</t>
  </si>
  <si>
    <t>Personnel</t>
  </si>
  <si>
    <t>Total</t>
  </si>
  <si>
    <t>Program</t>
  </si>
  <si>
    <t>% Total</t>
  </si>
  <si>
    <t>Revenue Breakdown</t>
  </si>
  <si>
    <t>Per Capita</t>
  </si>
  <si>
    <t>Shared Ministry</t>
  </si>
  <si>
    <t>Total Revenue</t>
  </si>
  <si>
    <t>$</t>
  </si>
  <si>
    <t>Expense Breakdown</t>
  </si>
  <si>
    <t>Endowment Support</t>
  </si>
  <si>
    <t>Endowment Budget Support</t>
  </si>
  <si>
    <t>Depreciation</t>
  </si>
  <si>
    <t>Trustee Non-Endow Support</t>
  </si>
  <si>
    <t>Notes</t>
  </si>
  <si>
    <t>Evals/Ministry Init./Repairs/Training</t>
  </si>
  <si>
    <t>COM Assistance to Congregations</t>
  </si>
  <si>
    <t>COM Sexual Misconduct Rspns Team</t>
  </si>
  <si>
    <t>Trustee Non-Endow. Support of Finance Staff</t>
  </si>
  <si>
    <t>Endowment Support - Lakeland</t>
  </si>
  <si>
    <t>SJC Salary</t>
  </si>
  <si>
    <t>SJC Benefits</t>
  </si>
  <si>
    <t>SJC FICA</t>
  </si>
  <si>
    <t>SJC Travel/Profess.</t>
  </si>
  <si>
    <t>Total Social Justice Consultant</t>
  </si>
  <si>
    <t>TTG Accountant Salary</t>
  </si>
  <si>
    <t>TTG Accountant Salary TTY Non-Endowment</t>
  </si>
  <si>
    <t>TTG Accountant FICA</t>
  </si>
  <si>
    <t>Total TTG Accountant</t>
  </si>
  <si>
    <t>Pers % Total</t>
  </si>
  <si>
    <t>Reconciliation (Incl. Director of Center Salary)</t>
  </si>
  <si>
    <t>Web Development/Support &amp; Commun.</t>
  </si>
  <si>
    <t>Equipment Maintenance/Tech Support</t>
  </si>
  <si>
    <t>COM Assistance to Ministers</t>
  </si>
  <si>
    <t>COM Retired Minister Events</t>
  </si>
  <si>
    <t>COM Training</t>
  </si>
  <si>
    <t>COM CREST</t>
  </si>
  <si>
    <t>`</t>
  </si>
  <si>
    <t>SJC Continuing Ed.</t>
  </si>
  <si>
    <t>Sm Gifts to retiring pastors</t>
  </si>
  <si>
    <t>Disciple Formation</t>
  </si>
  <si>
    <t>Dir of Admin. Ops Salary</t>
  </si>
  <si>
    <t>Dir of Admin. Ops Benefits</t>
  </si>
  <si>
    <t>Dir of Admin Ops FICA</t>
  </si>
  <si>
    <t>Financial Admin.Salary</t>
  </si>
  <si>
    <t>Financial Admin.  Salary TTY  Non Endowment</t>
  </si>
  <si>
    <t>Financial Admin .Benefits</t>
  </si>
  <si>
    <t>Financial Admin.  FICA</t>
  </si>
  <si>
    <t>General Presbyter Professional/Travel</t>
  </si>
  <si>
    <t>Total Rent</t>
  </si>
  <si>
    <t>Commission on Ministry</t>
  </si>
  <si>
    <t>Commission on Preparation for Ministry</t>
  </si>
  <si>
    <t>Net Income/(Loss)</t>
  </si>
  <si>
    <t>Trustee Support</t>
  </si>
  <si>
    <t>Total Trustee Support</t>
  </si>
  <si>
    <t>MG  Convener Chair</t>
  </si>
  <si>
    <t>MG  Convener Activities/Emerg. Needs</t>
  </si>
  <si>
    <t xml:space="preserve">Ministry Groups </t>
  </si>
  <si>
    <t>North Baltimorians-Ministry Grp</t>
  </si>
  <si>
    <t>North Baltimorians -Ministry Grp Convener</t>
  </si>
  <si>
    <t>Total Dir Admin. Ops.</t>
  </si>
  <si>
    <t>Total Financial Admin.</t>
  </si>
  <si>
    <t>2022 Budget</t>
  </si>
  <si>
    <t>2020 Comments</t>
  </si>
  <si>
    <t>2021 Comments</t>
  </si>
  <si>
    <t>2022 Comments</t>
  </si>
  <si>
    <t>13,275 members (2018)  x $35.73</t>
  </si>
  <si>
    <t xml:space="preserve">12,574 members (2019) x $36.06 </t>
  </si>
  <si>
    <t>From congregations</t>
  </si>
  <si>
    <t>4.5% on a 3 year rolling average</t>
  </si>
  <si>
    <t>Bank Interest</t>
  </si>
  <si>
    <t>Bank Interest and Snyder Income</t>
  </si>
  <si>
    <t>Overage moved to Reserve</t>
  </si>
  <si>
    <t>Expenses that are adjustable</t>
  </si>
  <si>
    <t>Per Capita payments to Synod and GA</t>
  </si>
  <si>
    <t>Approved Compensation Expense</t>
  </si>
  <si>
    <t>(funding represents staff realignment)</t>
  </si>
  <si>
    <t>Per Capita Income</t>
  </si>
  <si>
    <t>Trustee Revenue Stream</t>
  </si>
  <si>
    <t>Lakeland (housed in Trustees)</t>
  </si>
  <si>
    <t>Total Directed Support</t>
  </si>
  <si>
    <t>Other Miscellaneous Income</t>
  </si>
  <si>
    <t>Total Income before reserve Trf.s</t>
  </si>
  <si>
    <t>Ministry Group Reserves</t>
  </si>
  <si>
    <t>Total Annual Income</t>
  </si>
  <si>
    <t>EXPENSE --  Program Expense</t>
  </si>
  <si>
    <t xml:space="preserve">   Dismantling Racism</t>
  </si>
  <si>
    <t xml:space="preserve">   Mission Partnership Funds</t>
  </si>
  <si>
    <t>General Assembly &amp; Synod Giving</t>
  </si>
  <si>
    <t>Rent</t>
  </si>
  <si>
    <t>Steering Cabinet</t>
  </si>
  <si>
    <t xml:space="preserve">Sub Total Program  </t>
  </si>
  <si>
    <t>General Presbyter</t>
  </si>
  <si>
    <t>Stated Clerk</t>
  </si>
  <si>
    <t>Consultant - Social Justice</t>
  </si>
  <si>
    <t>Office:</t>
  </si>
  <si>
    <t>Finance Administrator</t>
  </si>
  <si>
    <t>Accountant</t>
  </si>
  <si>
    <t>Sub Total Staff</t>
  </si>
  <si>
    <t>RECAP</t>
  </si>
  <si>
    <t xml:space="preserve">Total Income   </t>
  </si>
  <si>
    <t xml:space="preserve">Subtract Total Expense   </t>
  </si>
  <si>
    <t>Total Income/(Expense)</t>
  </si>
  <si>
    <t>Not all congregations pay full Per Cap.</t>
  </si>
  <si>
    <t>Split w/church for clergy background cks.</t>
  </si>
  <si>
    <t>4.5% from Trustees</t>
  </si>
  <si>
    <t>11,942 mbrs. X $38.13</t>
  </si>
  <si>
    <t>Interim Pastor Program</t>
  </si>
  <si>
    <t>Reserves  (Overage)/Shortfall</t>
  </si>
  <si>
    <t xml:space="preserve">Shared Ministry </t>
  </si>
  <si>
    <t>Trustees</t>
  </si>
  <si>
    <t>Lakeland</t>
  </si>
  <si>
    <t>Programming Expenses by Fund:</t>
  </si>
  <si>
    <t>Salary Expenses by Fund:</t>
  </si>
  <si>
    <t>Stated Clerk Pension, health,Post Retire</t>
  </si>
  <si>
    <t>From Racial Justice reserve</t>
  </si>
  <si>
    <t>Legal</t>
  </si>
  <si>
    <t>Audit</t>
  </si>
  <si>
    <t>Copier Depreciation Expense</t>
  </si>
  <si>
    <t xml:space="preserve">Bay Area Discipl-Ministry Grp </t>
  </si>
  <si>
    <t>2021 Actual</t>
  </si>
  <si>
    <t>(To)/from Reserves</t>
  </si>
  <si>
    <t>Total Shared Ministry Income</t>
  </si>
  <si>
    <t>Total MG portion of SM Income</t>
  </si>
  <si>
    <t>Dismantling Racism Training</t>
  </si>
  <si>
    <t>25% of Finance Admin. &amp; Accountant Salary</t>
  </si>
  <si>
    <t>Partner Chair Meetings,Other Misc.</t>
  </si>
  <si>
    <t>Set per contract</t>
  </si>
  <si>
    <t>Spiritual Leadership Develop (Incl. Interim)</t>
  </si>
  <si>
    <t>Mountain Maryland Min Grp</t>
  </si>
  <si>
    <t>Mountain Maryland  Min Grp Conv</t>
  </si>
  <si>
    <t>2023 Comments</t>
  </si>
  <si>
    <t>2023</t>
  </si>
  <si>
    <t>$8.98 GA and $1.15 Synod</t>
  </si>
  <si>
    <t>Shortfall</t>
  </si>
  <si>
    <t xml:space="preserve">Interim Pastor Prog. Trustees Res. </t>
  </si>
  <si>
    <t>Stated Clerk Travel/Other</t>
  </si>
  <si>
    <t>Non Budgeted Extraordinary</t>
  </si>
  <si>
    <t>Background Checks &amp; Gift cards</t>
  </si>
  <si>
    <t>Overage</t>
  </si>
  <si>
    <t>Strategic Plan</t>
  </si>
  <si>
    <t>Inc per COL up to 2% ceiling</t>
  </si>
  <si>
    <t>2% inc. &amp; space reduce.</t>
  </si>
  <si>
    <t>General Reserve</t>
  </si>
  <si>
    <t>From General Reserve</t>
  </si>
  <si>
    <t>From Racial Justice Res.</t>
  </si>
  <si>
    <t>Strategic Associate for SLD Salary</t>
  </si>
  <si>
    <t>Total Strategic Assoc. for SLD</t>
  </si>
  <si>
    <t>Strategic Associate for SLD Housing</t>
  </si>
  <si>
    <t>Strategic Associate for SLD Medical/Pension</t>
  </si>
  <si>
    <t>Strategic Associate for SLD FICA/SECA</t>
  </si>
  <si>
    <t>Strategic Associate for SLD Cont. Ed.</t>
  </si>
  <si>
    <t>Strategic Associate for SLD Travel</t>
  </si>
  <si>
    <t>Strategic Associate for SLD Prof.</t>
  </si>
  <si>
    <t>1099 Contractor</t>
  </si>
  <si>
    <t>Covid Grants and Inc.</t>
  </si>
  <si>
    <t>Includes $ from Reserves</t>
  </si>
  <si>
    <t>Per Capita Adjustment for Non-payment</t>
  </si>
  <si>
    <t>11,226 mbrs.@ $40</t>
  </si>
  <si>
    <t>Anticipated non-payment at 6%</t>
  </si>
  <si>
    <t>Shared
Ministry</t>
  </si>
  <si>
    <t xml:space="preserve"> Per
 Capita      </t>
  </si>
  <si>
    <t>GA-Synod
Mission</t>
  </si>
  <si>
    <t xml:space="preserve">Lakeland                      </t>
  </si>
  <si>
    <t>NCD Borgert</t>
  </si>
  <si>
    <t>COM Ord/Instal</t>
  </si>
  <si>
    <t>Urban Arlington</t>
  </si>
  <si>
    <t>Mission Abbott</t>
  </si>
  <si>
    <t xml:space="preserve"> General Trustees</t>
  </si>
  <si>
    <t xml:space="preserve">Per
 Capita      </t>
  </si>
  <si>
    <t>General Trustees</t>
  </si>
  <si>
    <t>Dir. Sup. Interim Pastor</t>
  </si>
  <si>
    <t>Other</t>
  </si>
  <si>
    <t>2020 Actual</t>
  </si>
  <si>
    <t>Per Capita Reserve  (901820)</t>
  </si>
  <si>
    <t>Shared Ministry Reserve  (901840)</t>
  </si>
  <si>
    <t>$9.85 GA, $1.15 Synod</t>
  </si>
  <si>
    <t>W2 position in 2023</t>
  </si>
  <si>
    <t>2024 Budget</t>
  </si>
  <si>
    <t>Reserve</t>
  </si>
  <si>
    <t>NCD Bogert</t>
  </si>
  <si>
    <t>2023 vs 2022 Budget Inc/(Dec)</t>
  </si>
  <si>
    <t>Director of Admin. Ops.</t>
  </si>
  <si>
    <t xml:space="preserve">Total  Expenses   </t>
  </si>
  <si>
    <t>2023  Actual @9/30/23</t>
  </si>
  <si>
    <t>Scholarship Expense &amp; EW Coaching</t>
  </si>
  <si>
    <t>Partnership Administrator</t>
  </si>
  <si>
    <t>WEB/Social Media Consultant/Grant Cood.</t>
  </si>
  <si>
    <t>Total Dir of Communications/Grant</t>
  </si>
  <si>
    <t>Total Partner. Admin</t>
  </si>
  <si>
    <t>2024 vs 2023 Budget Inc/(Dec)</t>
  </si>
  <si>
    <t>General Reserve (901830)</t>
  </si>
  <si>
    <t>2023 Inc/(Dec) 2024</t>
  </si>
  <si>
    <t>Communications Spec./Grant Coord.</t>
  </si>
  <si>
    <t>2023  Actual</t>
  </si>
  <si>
    <t>2023 Actual</t>
  </si>
  <si>
    <t>10 addtl weekly hrs. for Grants in 2024</t>
  </si>
  <si>
    <t>Total COM Excluding Interim</t>
  </si>
  <si>
    <t>Total Income Before Reserves</t>
  </si>
  <si>
    <t>2024 Actual</t>
  </si>
  <si>
    <t>2025 Budget</t>
  </si>
  <si>
    <t>Dependent on SM Income</t>
  </si>
  <si>
    <t>Charm City &amp; Innovative Security</t>
  </si>
  <si>
    <t>Konica Printer</t>
  </si>
  <si>
    <t>Ins. Board and Workmans Comp.</t>
  </si>
  <si>
    <t>Office Relocation</t>
  </si>
  <si>
    <t>Massanetta Springs Contribution</t>
  </si>
  <si>
    <t>2025 Budget SLD</t>
  </si>
  <si>
    <t>Commission on Spiritual Leadership Devel.</t>
  </si>
  <si>
    <t>Account Number</t>
  </si>
  <si>
    <t>02-500400-03</t>
  </si>
  <si>
    <t>02-500410-03</t>
  </si>
  <si>
    <t>02-500430-03</t>
  </si>
  <si>
    <t>02-500440-03</t>
  </si>
  <si>
    <t>02-500820-03</t>
  </si>
  <si>
    <t>02-500450-03</t>
  </si>
  <si>
    <t>Ministry of Other Cong. Leaders</t>
  </si>
  <si>
    <t>02-500460-03</t>
  </si>
  <si>
    <t>02-500445-03</t>
  </si>
  <si>
    <t>02-500455-03</t>
  </si>
  <si>
    <t>Fund Source Sh. Min.
Ministry</t>
  </si>
  <si>
    <t>02-500800-04</t>
  </si>
  <si>
    <t>07-501805-04</t>
  </si>
  <si>
    <t>02-500810-04</t>
  </si>
  <si>
    <t>02-500900-04</t>
  </si>
  <si>
    <t>02-500910-04</t>
  </si>
  <si>
    <t>02-501200-04</t>
  </si>
  <si>
    <t>02-501220-04</t>
  </si>
  <si>
    <t>Total Reconciliation Expenses</t>
  </si>
  <si>
    <t xml:space="preserve">          Funding Sources</t>
  </si>
  <si>
    <t xml:space="preserve">  Funding Sources</t>
  </si>
  <si>
    <t>COM SMRT/Healthy Boundaries</t>
  </si>
  <si>
    <t>01-500500-03</t>
  </si>
  <si>
    <t>01-500250-03</t>
  </si>
  <si>
    <t>01-500530-03</t>
  </si>
  <si>
    <t>01-500540-03</t>
  </si>
  <si>
    <t>01-500550-03</t>
  </si>
  <si>
    <t>COM Background Checks</t>
  </si>
  <si>
    <t>01-500560-03</t>
  </si>
  <si>
    <t>01-500580-03</t>
  </si>
  <si>
    <t>09-901830-00</t>
  </si>
  <si>
    <t>TT Ord/Inst</t>
  </si>
  <si>
    <t>01-500570-03/04-500570-03</t>
  </si>
  <si>
    <t xml:space="preserve">                      Funding Sources</t>
  </si>
  <si>
    <t>Funding</t>
  </si>
  <si>
    <t>Account Numbers</t>
  </si>
  <si>
    <t>02-500230-02</t>
  </si>
  <si>
    <t>02-500240-02</t>
  </si>
  <si>
    <t>02-500250-02</t>
  </si>
  <si>
    <t>West Side-Ministry Grp Convener</t>
  </si>
  <si>
    <t>02-500260-02</t>
  </si>
  <si>
    <t>02-500270-02</t>
  </si>
  <si>
    <t>02-500280-02</t>
  </si>
  <si>
    <t>North Balto Pres.-Ministry Grp</t>
  </si>
  <si>
    <t>North Balto Pres -Ministry Grp Convener</t>
  </si>
  <si>
    <t>02-500290-02</t>
  </si>
  <si>
    <t>02-500300-02</t>
  </si>
  <si>
    <t>02-500310-02</t>
  </si>
  <si>
    <t>02-500320-02</t>
  </si>
  <si>
    <t>02-500330-02</t>
  </si>
  <si>
    <t>02-500340-02</t>
  </si>
  <si>
    <t>02-500345-02</t>
  </si>
  <si>
    <t>02-500350-02</t>
  </si>
  <si>
    <t>01-500600-03</t>
  </si>
  <si>
    <t>01-500670-03</t>
  </si>
  <si>
    <t>01-500620-03</t>
  </si>
  <si>
    <t>01-500650-03</t>
  </si>
  <si>
    <t>01-502200-07</t>
  </si>
  <si>
    <t>01-502210-07</t>
  </si>
  <si>
    <t>01-502220-07</t>
  </si>
  <si>
    <t>01-502230-07</t>
  </si>
  <si>
    <t xml:space="preserve">                 Funding</t>
  </si>
  <si>
    <t>01-502250-07</t>
  </si>
  <si>
    <t>Assoc. for Church Care &amp; Advocacy Salary</t>
  </si>
  <si>
    <t>Assoc. for Church Care &amp; Advocacy Housing</t>
  </si>
  <si>
    <t>Assoc. for Church Care &amp; Advocacy SECA/FICA</t>
  </si>
  <si>
    <t>Assoc. for Church Care &amp; Advocacy Prof.</t>
  </si>
  <si>
    <t>Assoc. for Church Care &amp; Advocacy Travel</t>
  </si>
  <si>
    <t>Assoc. for Church Care &amp; Advocacy Cont. Ed.</t>
  </si>
  <si>
    <t>Assoc. for Miss.&amp; Comm. Engage - Salary</t>
  </si>
  <si>
    <t>Assoc. for Miss.&amp; Comm. Engage - Housing</t>
  </si>
  <si>
    <t>Assoc. for Miss.&amp; Comm. Engage - Med/Pension</t>
  </si>
  <si>
    <t>Assoc. for Miss.&amp; Comm. Engage - SECA/FICA</t>
  </si>
  <si>
    <t>Assoc. for Miss.&amp; Comm. Engage - Cont. Ed.</t>
  </si>
  <si>
    <t>Assoc. for Miss.&amp; Comm. Engage - Travel</t>
  </si>
  <si>
    <t>Assoc. for Miss.&amp; Comm. Engage - Prof.</t>
  </si>
  <si>
    <t>Associate for Church Care &amp; Advocacy</t>
  </si>
  <si>
    <t>Assoc. for Miss. &amp; Comm. Engage.</t>
  </si>
  <si>
    <t>Check Calc</t>
  </si>
  <si>
    <t>Massanetta Contribution from Gen'l Reserve</t>
  </si>
  <si>
    <t>Interim Pastor Program General Reserve</t>
  </si>
  <si>
    <t>Massanetta Springs 3 Yr. Contr.</t>
  </si>
  <si>
    <t>EXPENSE (Salary &amp; Benefits)-- Presbytery Staff</t>
  </si>
  <si>
    <t>Total Assoc. for Church Care &amp; Advocacy</t>
  </si>
  <si>
    <t>Total Assoc. for Mission &amp; Comm. Engage.</t>
  </si>
  <si>
    <t>Change in Accounting for Gathering Meals</t>
  </si>
  <si>
    <t>Stated Meetings</t>
  </si>
  <si>
    <t>No Reserves remaining. Draw from Gen'l</t>
  </si>
  <si>
    <t>2026  Budget</t>
  </si>
  <si>
    <t>2026 Budget</t>
  </si>
  <si>
    <t>Total COM &amp; CPM Incl. Interim Minister</t>
  </si>
  <si>
    <t>New position that is now part of ACE position</t>
  </si>
  <si>
    <t>Approx. 6% non-payment</t>
  </si>
  <si>
    <t>Assoc. for Church Care &amp; Advocacy Pen/Med</t>
  </si>
  <si>
    <t>Incl. Youth Coord. for ITL Thru May 2025</t>
  </si>
  <si>
    <t>Ads</t>
  </si>
  <si>
    <t>Gathered Meetings/Retreats</t>
  </si>
  <si>
    <t>Total Gathered Meeting/Retreat Expense</t>
  </si>
  <si>
    <t>From Gen'l Reserves 2025-2027</t>
  </si>
  <si>
    <t>Commission on TLC</t>
  </si>
  <si>
    <t>TLC Program</t>
  </si>
  <si>
    <t xml:space="preserve">   Massanetta Contribution</t>
  </si>
  <si>
    <t>2026= 9,718*$11.26</t>
  </si>
  <si>
    <t>2026= 9,718*$1.50</t>
  </si>
  <si>
    <t>COM Training Meals &amp; Materials</t>
  </si>
  <si>
    <t>Training expenses</t>
  </si>
  <si>
    <t>Reserve $1,038</t>
  </si>
  <si>
    <t>Budget Support Lakeland</t>
  </si>
  <si>
    <t>9,718 @ $45 from 10,068 @ $42 in 2025</t>
  </si>
  <si>
    <t>Leaders Development</t>
  </si>
  <si>
    <t>Was  Min. TE, Min. other, Disc. Form.</t>
  </si>
  <si>
    <t>Was Comm exp CTC &amp; SLD and Team Exp</t>
  </si>
  <si>
    <t>Churches Development</t>
  </si>
  <si>
    <t>Was Lakeland &amp; Resource Ctr</t>
  </si>
  <si>
    <t>Scholarships &amp; Coaching</t>
  </si>
  <si>
    <t>Slate Project/ 1st Belair</t>
  </si>
  <si>
    <t>Presbytery Stated Meetings</t>
  </si>
  <si>
    <t>New accounting recording requirement</t>
  </si>
  <si>
    <t>Racial Justice / MLE Reserve</t>
  </si>
  <si>
    <t>2026 Condensed Budget</t>
  </si>
  <si>
    <t>Total Thriving Leaders &amp; Churches</t>
  </si>
  <si>
    <t>2026 Budget Commission of Reconciliation</t>
  </si>
  <si>
    <t>2026 Budget COM</t>
  </si>
  <si>
    <t>2026 Budget Ministry Groups</t>
  </si>
  <si>
    <t>2026 CPM</t>
  </si>
  <si>
    <t>2026 Steering Cabinet</t>
  </si>
  <si>
    <t>2026 Budget Commission on Thriving Leaders &amp; Churches</t>
  </si>
  <si>
    <t>TBA</t>
  </si>
  <si>
    <t>2025 Actual</t>
  </si>
  <si>
    <t>Current Reserve $186,462</t>
  </si>
  <si>
    <t>Current Reserve  $182,270</t>
  </si>
  <si>
    <t>Current Reserve $84,152</t>
  </si>
  <si>
    <t>Current Reserve $5,026</t>
  </si>
  <si>
    <t>Reserve $4,961</t>
  </si>
  <si>
    <t>Reserve $992</t>
  </si>
  <si>
    <t>2026 vs 2025 Budget Fav/(Unfav)</t>
  </si>
  <si>
    <t>From RJ and MLE reserves &amp; Abbott</t>
  </si>
  <si>
    <t>Racial Justice /MLE  Reserve/Abbott</t>
  </si>
  <si>
    <t>2025 Act vs 2025 Budget Fav/(Unfav)</t>
  </si>
  <si>
    <t>2025 Act vs 2026 Bud Fav/(Unfav)</t>
  </si>
  <si>
    <t>Balance @ 12/2025 $75K</t>
  </si>
  <si>
    <t>Reserve *</t>
  </si>
  <si>
    <t>Available Reserves</t>
  </si>
  <si>
    <t>MLE Urban Witness</t>
  </si>
  <si>
    <t>Uses</t>
  </si>
  <si>
    <t>Dismantling Racisim</t>
  </si>
  <si>
    <t>4.5% Annual Abbott $</t>
  </si>
  <si>
    <t>Presbytery Peace</t>
  </si>
  <si>
    <t>Racial Justice Reserve</t>
  </si>
  <si>
    <t>Centsability</t>
  </si>
  <si>
    <t>Hunger</t>
  </si>
  <si>
    <t>SDOP Committee</t>
  </si>
  <si>
    <t>Youth Rising</t>
  </si>
  <si>
    <t>Recon. Restricted</t>
  </si>
  <si>
    <t>Reparative Actions</t>
  </si>
  <si>
    <t>Durr Fund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</si>
</sst>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&quot;$&quot;* #,##0_);_(&quot;$&quot;* \(#,##0\);_(&quot;$&quot;* &quot;-&quot;??_);_(@_)"/>
  </numFmts>
  <fonts count="85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8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name val="Times New Roman"/>
      <family val="1"/>
    </font>
    <font>
      <b/>
      <sz val="14"/>
      <color rgb="FF000000"/>
      <name val="Times New Roman"/>
      <family val="1"/>
    </font>
    <font>
      <sz val="11"/>
      <name val="Calibri"/>
      <family val="2"/>
    </font>
    <font>
      <b/>
      <sz val="11"/>
      <color rgb="FF0070C0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b/>
      <sz val="12"/>
      <color rgb="FFFF0000"/>
      <name val="Arial"/>
      <family val="2"/>
    </font>
    <font>
      <b/>
      <i/>
      <sz val="12"/>
      <color rgb="FF000000"/>
      <name val="Arial"/>
      <family val="2"/>
    </font>
    <font>
      <i/>
      <sz val="12"/>
      <color rgb="FF000000"/>
      <name val="Arial"/>
      <family val="2"/>
    </font>
    <font>
      <b/>
      <sz val="12"/>
      <name val="Arial"/>
      <family val="2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u/>
      <sz val="12"/>
      <color theme="1"/>
      <name val="Arial"/>
      <family val="2"/>
    </font>
    <font>
      <sz val="12"/>
      <color rgb="FF00B0F0"/>
      <name val="Arial"/>
      <family val="2"/>
    </font>
    <font>
      <u/>
      <sz val="11"/>
      <color theme="10"/>
      <name val="Calibri"/>
      <family val="2"/>
    </font>
    <font>
      <u/>
      <sz val="11"/>
      <color theme="11"/>
      <name val="Calibri"/>
      <family val="2"/>
    </font>
    <font>
      <i/>
      <sz val="12"/>
      <color theme="4" tint="-0.499984740745262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b/>
      <sz val="14"/>
      <color theme="0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b/>
      <sz val="16"/>
      <color rgb="FF000000"/>
      <name val="Arial"/>
      <family val="2"/>
    </font>
    <font>
      <sz val="12"/>
      <color rgb="FF0070C0"/>
      <name val="Arial"/>
      <family val="2"/>
    </font>
    <font>
      <b/>
      <sz val="12"/>
      <color theme="9" tint="-0.249977111117893"/>
      <name val="Arial"/>
      <family val="2"/>
    </font>
    <font>
      <b/>
      <sz val="12"/>
      <color theme="5" tint="-0.249977111117893"/>
      <name val="Arial"/>
      <family val="2"/>
    </font>
    <font>
      <b/>
      <sz val="14"/>
      <color theme="9" tint="-0.249977111117893"/>
      <name val="Arial"/>
      <family val="2"/>
    </font>
    <font>
      <sz val="14"/>
      <name val="Arial"/>
      <family val="2"/>
    </font>
    <font>
      <b/>
      <i/>
      <sz val="14"/>
      <color rgb="FF000000"/>
      <name val="Arial"/>
      <family val="2"/>
    </font>
    <font>
      <b/>
      <sz val="14"/>
      <color theme="5" tint="-0.249977111117893"/>
      <name val="Arial"/>
      <family val="2"/>
    </font>
    <font>
      <b/>
      <sz val="14"/>
      <name val="Arial"/>
      <family val="2"/>
    </font>
    <font>
      <b/>
      <i/>
      <sz val="14"/>
      <color theme="5" tint="-0.249977111117893"/>
      <name val="Arial"/>
      <family val="2"/>
    </font>
    <font>
      <sz val="10"/>
      <color rgb="FF000000"/>
      <name val="Arial"/>
      <family val="2"/>
    </font>
    <font>
      <i/>
      <sz val="12"/>
      <color theme="8" tint="-0.249977111117893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i/>
      <sz val="14"/>
      <color theme="1"/>
      <name val="Arial"/>
      <family val="2"/>
    </font>
    <font>
      <b/>
      <sz val="12"/>
      <color theme="8" tint="-0.249977111117893"/>
      <name val="Arial"/>
      <family val="2"/>
    </font>
    <font>
      <sz val="12"/>
      <color theme="8" tint="-0.249977111117893"/>
      <name val="Arial"/>
      <family val="2"/>
    </font>
    <font>
      <b/>
      <sz val="14"/>
      <color theme="8" tint="-0.249977111117893"/>
      <name val="Arial"/>
      <family val="2"/>
    </font>
    <font>
      <b/>
      <i/>
      <sz val="12"/>
      <color theme="8" tint="-0.249977111117893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u/>
      <sz val="10"/>
      <color theme="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i/>
      <sz val="10"/>
      <color theme="1"/>
      <name val="Arial"/>
      <family val="2"/>
    </font>
    <font>
      <sz val="10"/>
      <color theme="8" tint="-0.249977111117893"/>
      <name val="Arial"/>
      <family val="2"/>
    </font>
    <font>
      <sz val="11"/>
      <color theme="8" tint="-0.249977111117893"/>
      <name val="Calibri"/>
      <family val="2"/>
    </font>
    <font>
      <b/>
      <sz val="10"/>
      <color theme="0"/>
      <name val="Arial"/>
      <family val="2"/>
    </font>
    <font>
      <sz val="14"/>
      <color rgb="FF000000"/>
      <name val="Calibri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</font>
    <font>
      <sz val="12"/>
      <color theme="8" tint="-0.249977111117893"/>
      <name val="Calibri"/>
      <family val="2"/>
    </font>
    <font>
      <b/>
      <sz val="14"/>
      <color rgb="FF000000"/>
      <name val="Arial"/>
      <family val="2"/>
    </font>
    <font>
      <b/>
      <sz val="14"/>
      <color theme="1"/>
      <name val="Arial"/>
      <family val="2"/>
    </font>
    <font>
      <b/>
      <i/>
      <sz val="12"/>
      <color rgb="FF000000"/>
      <name val="Arial"/>
      <family val="2"/>
    </font>
    <font>
      <sz val="11"/>
      <color rgb="FF000000"/>
      <name val="Calibri"/>
      <family val="2"/>
    </font>
    <font>
      <sz val="12"/>
      <color theme="1"/>
      <name val="Arial"/>
      <family val="2"/>
    </font>
    <font>
      <sz val="14"/>
      <color theme="0"/>
      <name val="Arial"/>
      <family val="2"/>
    </font>
    <font>
      <b/>
      <sz val="14"/>
      <color rgb="FFFF0000"/>
      <name val="Arial"/>
      <family val="2"/>
    </font>
    <font>
      <b/>
      <i/>
      <sz val="12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u/>
      <sz val="12"/>
      <color rgb="FF000000"/>
      <name val="Arial"/>
      <family val="2"/>
    </font>
    <font>
      <u/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E6F4F7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4B2FF"/>
        <bgColor indexed="64"/>
      </patternFill>
    </fill>
    <fill>
      <patternFill patternType="solid">
        <fgColor rgb="FF6C54A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8">
    <xf numFmtId="0" fontId="0" fillId="0" borderId="0"/>
    <xf numFmtId="0" fontId="3" fillId="2" borderId="0" applyNumberFormat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" fillId="5" borderId="7" applyNumberFormat="0" applyAlignment="0" applyProtection="0"/>
    <xf numFmtId="0" fontId="15" fillId="6" borderId="8" applyNumberFormat="0" applyAlignment="0" applyProtection="0"/>
    <xf numFmtId="0" fontId="16" fillId="7" borderId="0" applyNumberFormat="0" applyBorder="0" applyAlignment="0" applyProtection="0"/>
    <xf numFmtId="0" fontId="17" fillId="8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2" fontId="76" fillId="0" borderId="0" applyFont="0" applyFill="0" applyBorder="0" applyAlignment="0" applyProtection="0"/>
    <xf numFmtId="0" fontId="2" fillId="27" borderId="0" applyNumberFormat="0" applyBorder="0" applyAlignment="0" applyProtection="0"/>
    <xf numFmtId="0" fontId="1" fillId="28" borderId="0" applyNumberFormat="0" applyBorder="0" applyAlignment="0" applyProtection="0"/>
  </cellStyleXfs>
  <cellXfs count="451">
    <xf numFmtId="0" fontId="0" fillId="0" borderId="0" xfId="0"/>
    <xf numFmtId="0" fontId="6" fillId="0" borderId="0" xfId="0" applyFont="1"/>
    <xf numFmtId="41" fontId="5" fillId="0" borderId="0" xfId="0" applyNumberFormat="1" applyFont="1" applyAlignment="1">
      <alignment horizontal="right"/>
    </xf>
    <xf numFmtId="37" fontId="5" fillId="0" borderId="0" xfId="0" applyNumberFormat="1" applyFont="1"/>
    <xf numFmtId="0" fontId="6" fillId="4" borderId="0" xfId="0" applyFont="1" applyFill="1"/>
    <xf numFmtId="0" fontId="10" fillId="0" borderId="0" xfId="0" applyFont="1"/>
    <xf numFmtId="41" fontId="8" fillId="0" borderId="0" xfId="0" applyNumberFormat="1" applyFont="1" applyAlignment="1">
      <alignment horizontal="right"/>
    </xf>
    <xf numFmtId="37" fontId="8" fillId="0" borderId="0" xfId="0" applyNumberFormat="1" applyFont="1"/>
    <xf numFmtId="41" fontId="8" fillId="4" borderId="0" xfId="0" applyNumberFormat="1" applyFont="1" applyFill="1" applyAlignment="1">
      <alignment horizontal="right"/>
    </xf>
    <xf numFmtId="0" fontId="12" fillId="0" borderId="0" xfId="0" applyFont="1"/>
    <xf numFmtId="0" fontId="0" fillId="0" borderId="0" xfId="0" applyAlignment="1">
      <alignment horizontal="left" indent="1"/>
    </xf>
    <xf numFmtId="0" fontId="6" fillId="3" borderId="0" xfId="0" applyFont="1" applyFill="1"/>
    <xf numFmtId="9" fontId="5" fillId="0" borderId="0" xfId="2" applyFont="1" applyAlignment="1">
      <alignment horizontal="right"/>
    </xf>
    <xf numFmtId="0" fontId="18" fillId="0" borderId="0" xfId="0" applyFont="1"/>
    <xf numFmtId="41" fontId="18" fillId="4" borderId="0" xfId="0" applyNumberFormat="1" applyFont="1" applyFill="1"/>
    <xf numFmtId="41" fontId="19" fillId="0" borderId="0" xfId="0" applyNumberFormat="1" applyFont="1"/>
    <xf numFmtId="41" fontId="19" fillId="4" borderId="0" xfId="0" applyNumberFormat="1" applyFont="1" applyFill="1"/>
    <xf numFmtId="41" fontId="18" fillId="0" borderId="0" xfId="0" applyNumberFormat="1" applyFont="1"/>
    <xf numFmtId="41" fontId="21" fillId="0" borderId="0" xfId="0" applyNumberFormat="1" applyFont="1" applyAlignment="1">
      <alignment horizontal="right"/>
    </xf>
    <xf numFmtId="2" fontId="21" fillId="0" borderId="0" xfId="3" applyNumberFormat="1" applyFont="1" applyFill="1" applyAlignment="1">
      <alignment horizontal="right"/>
    </xf>
    <xf numFmtId="0" fontId="21" fillId="0" borderId="0" xfId="0" applyFont="1"/>
    <xf numFmtId="41" fontId="21" fillId="4" borderId="0" xfId="0" applyNumberFormat="1" applyFont="1" applyFill="1" applyAlignment="1">
      <alignment horizontal="right"/>
    </xf>
    <xf numFmtId="41" fontId="18" fillId="0" borderId="0" xfId="0" applyNumberFormat="1" applyFont="1" applyAlignment="1">
      <alignment horizontal="right"/>
    </xf>
    <xf numFmtId="41" fontId="21" fillId="4" borderId="0" xfId="0" applyNumberFormat="1" applyFont="1" applyFill="1"/>
    <xf numFmtId="0" fontId="18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 indent="1"/>
    </xf>
    <xf numFmtId="0" fontId="19" fillId="0" borderId="0" xfId="0" applyFont="1" applyAlignment="1">
      <alignment horizontal="left" vertical="center" indent="1"/>
    </xf>
    <xf numFmtId="0" fontId="19" fillId="0" borderId="0" xfId="0" applyFont="1" applyAlignment="1">
      <alignment vertical="center"/>
    </xf>
    <xf numFmtId="37" fontId="19" fillId="0" borderId="1" xfId="0" applyNumberFormat="1" applyFont="1" applyBorder="1" applyAlignment="1">
      <alignment horizontal="center" vertical="top" wrapText="1"/>
    </xf>
    <xf numFmtId="165" fontId="19" fillId="4" borderId="4" xfId="3" applyNumberFormat="1" applyFont="1" applyFill="1" applyBorder="1" applyAlignment="1">
      <alignment horizontal="center" vertical="top" wrapText="1"/>
    </xf>
    <xf numFmtId="41" fontId="19" fillId="0" borderId="0" xfId="0" applyNumberFormat="1" applyFont="1" applyAlignment="1">
      <alignment horizontal="right" vertical="center"/>
    </xf>
    <xf numFmtId="0" fontId="21" fillId="0" borderId="4" xfId="0" applyFont="1" applyBorder="1" applyAlignment="1">
      <alignment horizontal="center" vertical="top"/>
    </xf>
    <xf numFmtId="0" fontId="6" fillId="9" borderId="0" xfId="0" applyFont="1" applyFill="1"/>
    <xf numFmtId="37" fontId="19" fillId="9" borderId="1" xfId="0" applyNumberFormat="1" applyFont="1" applyFill="1" applyBorder="1" applyAlignment="1">
      <alignment horizontal="center" vertical="top" wrapText="1"/>
    </xf>
    <xf numFmtId="41" fontId="19" fillId="9" borderId="0" xfId="0" applyNumberFormat="1" applyFont="1" applyFill="1"/>
    <xf numFmtId="41" fontId="18" fillId="9" borderId="0" xfId="0" applyNumberFormat="1" applyFont="1" applyFill="1"/>
    <xf numFmtId="41" fontId="21" fillId="9" borderId="0" xfId="0" applyNumberFormat="1" applyFont="1" applyFill="1" applyAlignment="1">
      <alignment horizontal="right"/>
    </xf>
    <xf numFmtId="41" fontId="18" fillId="9" borderId="0" xfId="0" applyNumberFormat="1" applyFont="1" applyFill="1" applyAlignment="1">
      <alignment horizontal="right"/>
    </xf>
    <xf numFmtId="41" fontId="18" fillId="4" borderId="0" xfId="0" applyNumberFormat="1" applyFont="1" applyFill="1" applyAlignment="1">
      <alignment horizontal="right"/>
    </xf>
    <xf numFmtId="0" fontId="6" fillId="10" borderId="0" xfId="0" applyFont="1" applyFill="1"/>
    <xf numFmtId="0" fontId="18" fillId="10" borderId="0" xfId="0" applyFont="1" applyFill="1"/>
    <xf numFmtId="0" fontId="21" fillId="10" borderId="0" xfId="0" applyFont="1" applyFill="1"/>
    <xf numFmtId="0" fontId="19" fillId="10" borderId="0" xfId="0" applyFont="1" applyFill="1" applyAlignment="1">
      <alignment vertical="center"/>
    </xf>
    <xf numFmtId="0" fontId="7" fillId="10" borderId="0" xfId="0" applyFont="1" applyFill="1"/>
    <xf numFmtId="0" fontId="10" fillId="10" borderId="0" xfId="0" applyFont="1" applyFill="1"/>
    <xf numFmtId="41" fontId="20" fillId="4" borderId="0" xfId="0" applyNumberFormat="1" applyFont="1" applyFill="1" applyAlignment="1">
      <alignment horizontal="right"/>
    </xf>
    <xf numFmtId="41" fontId="23" fillId="4" borderId="0" xfId="0" applyNumberFormat="1" applyFont="1" applyFill="1" applyAlignment="1">
      <alignment horizontal="right"/>
    </xf>
    <xf numFmtId="41" fontId="23" fillId="0" borderId="0" xfId="0" applyNumberFormat="1" applyFont="1" applyAlignment="1">
      <alignment horizontal="right"/>
    </xf>
    <xf numFmtId="41" fontId="23" fillId="9" borderId="0" xfId="0" applyNumberFormat="1" applyFont="1" applyFill="1" applyAlignment="1">
      <alignment horizontal="right"/>
    </xf>
    <xf numFmtId="41" fontId="19" fillId="0" borderId="0" xfId="0" applyNumberFormat="1" applyFont="1" applyAlignment="1">
      <alignment vertical="center"/>
    </xf>
    <xf numFmtId="41" fontId="19" fillId="12" borderId="0" xfId="0" applyNumberFormat="1" applyFont="1" applyFill="1" applyAlignment="1">
      <alignment horizontal="right" vertical="center"/>
    </xf>
    <xf numFmtId="41" fontId="29" fillId="9" borderId="0" xfId="0" applyNumberFormat="1" applyFont="1" applyFill="1" applyAlignment="1">
      <alignment horizontal="right"/>
    </xf>
    <xf numFmtId="41" fontId="24" fillId="9" borderId="0" xfId="0" applyNumberFormat="1" applyFont="1" applyFill="1"/>
    <xf numFmtId="41" fontId="24" fillId="0" borderId="0" xfId="0" applyNumberFormat="1" applyFont="1"/>
    <xf numFmtId="41" fontId="24" fillId="4" borderId="0" xfId="0" applyNumberFormat="1" applyFont="1" applyFill="1"/>
    <xf numFmtId="165" fontId="18" fillId="9" borderId="0" xfId="3" applyNumberFormat="1" applyFont="1" applyFill="1"/>
    <xf numFmtId="165" fontId="18" fillId="0" borderId="0" xfId="3" applyNumberFormat="1" applyFont="1"/>
    <xf numFmtId="0" fontId="18" fillId="4" borderId="0" xfId="0" applyFont="1" applyFill="1"/>
    <xf numFmtId="165" fontId="18" fillId="4" borderId="0" xfId="3" applyNumberFormat="1" applyFont="1" applyFill="1" applyBorder="1"/>
    <xf numFmtId="0" fontId="18" fillId="0" borderId="0" xfId="0" quotePrefix="1" applyFont="1" applyAlignment="1">
      <alignment horizontal="left" vertical="top" indent="1"/>
    </xf>
    <xf numFmtId="41" fontId="19" fillId="4" borderId="0" xfId="0" applyNumberFormat="1" applyFont="1" applyFill="1" applyAlignment="1">
      <alignment horizontal="right" vertical="center"/>
    </xf>
    <xf numFmtId="41" fontId="19" fillId="4" borderId="0" xfId="0" applyNumberFormat="1" applyFont="1" applyFill="1" applyAlignment="1">
      <alignment vertical="center"/>
    </xf>
    <xf numFmtId="165" fontId="19" fillId="0" borderId="0" xfId="3" applyNumberFormat="1" applyFont="1" applyFill="1" applyBorder="1" applyAlignment="1">
      <alignment vertical="center"/>
    </xf>
    <xf numFmtId="41" fontId="19" fillId="9" borderId="0" xfId="0" applyNumberFormat="1" applyFont="1" applyFill="1" applyAlignment="1">
      <alignment vertical="top"/>
    </xf>
    <xf numFmtId="41" fontId="19" fillId="0" borderId="0" xfId="0" applyNumberFormat="1" applyFont="1" applyAlignment="1">
      <alignment vertical="top"/>
    </xf>
    <xf numFmtId="41" fontId="19" fillId="4" borderId="0" xfId="0" applyNumberFormat="1" applyFont="1" applyFill="1" applyAlignment="1">
      <alignment vertical="top"/>
    </xf>
    <xf numFmtId="0" fontId="6" fillId="10" borderId="0" xfId="0" applyFont="1" applyFill="1" applyAlignment="1">
      <alignment vertical="top"/>
    </xf>
    <xf numFmtId="0" fontId="6" fillId="0" borderId="0" xfId="0" applyFont="1" applyAlignment="1">
      <alignment vertical="top"/>
    </xf>
    <xf numFmtId="165" fontId="19" fillId="0" borderId="0" xfId="3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left" vertical="top" indent="1"/>
    </xf>
    <xf numFmtId="0" fontId="21" fillId="0" borderId="0" xfId="0" quotePrefix="1" applyFont="1" applyAlignment="1">
      <alignment horizontal="left" vertical="top" indent="1"/>
    </xf>
    <xf numFmtId="9" fontId="18" fillId="0" borderId="0" xfId="2" applyFont="1" applyFill="1" applyAlignment="1">
      <alignment horizontal="left" vertical="top" indent="1"/>
    </xf>
    <xf numFmtId="41" fontId="18" fillId="0" borderId="0" xfId="0" applyNumberFormat="1" applyFont="1" applyAlignment="1">
      <alignment horizontal="left" vertical="top" indent="1"/>
    </xf>
    <xf numFmtId="14" fontId="20" fillId="0" borderId="0" xfId="0" applyNumberFormat="1" applyFont="1" applyAlignment="1">
      <alignment horizontal="left" indent="1"/>
    </xf>
    <xf numFmtId="49" fontId="5" fillId="0" borderId="0" xfId="0" applyNumberFormat="1" applyFont="1" applyAlignment="1">
      <alignment horizontal="left" indent="1"/>
    </xf>
    <xf numFmtId="49" fontId="18" fillId="0" borderId="0" xfId="0" applyNumberFormat="1" applyFont="1" applyAlignment="1">
      <alignment horizontal="left" indent="1"/>
    </xf>
    <xf numFmtId="49" fontId="32" fillId="0" borderId="0" xfId="0" applyNumberFormat="1" applyFont="1" applyAlignment="1">
      <alignment horizontal="left" indent="1"/>
    </xf>
    <xf numFmtId="49" fontId="21" fillId="0" borderId="0" xfId="0" applyNumberFormat="1" applyFont="1" applyAlignment="1">
      <alignment horizontal="left" indent="1"/>
    </xf>
    <xf numFmtId="49" fontId="23" fillId="12" borderId="0" xfId="0" applyNumberFormat="1" applyFont="1" applyFill="1" applyAlignment="1">
      <alignment horizontal="left" vertical="center" indent="1"/>
    </xf>
    <xf numFmtId="49" fontId="23" fillId="4" borderId="0" xfId="0" applyNumberFormat="1" applyFont="1" applyFill="1" applyAlignment="1">
      <alignment horizontal="left" vertical="center" indent="1"/>
    </xf>
    <xf numFmtId="49" fontId="24" fillId="0" borderId="0" xfId="0" applyNumberFormat="1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23" fillId="4" borderId="0" xfId="0" applyFont="1" applyFill="1" applyAlignment="1">
      <alignment horizontal="left" vertical="center" indent="1"/>
    </xf>
    <xf numFmtId="49" fontId="9" fillId="0" borderId="0" xfId="0" applyNumberFormat="1" applyFont="1" applyAlignment="1">
      <alignment horizontal="left" indent="1"/>
    </xf>
    <xf numFmtId="49" fontId="11" fillId="0" borderId="0" xfId="0" quotePrefix="1" applyNumberFormat="1" applyFont="1" applyAlignment="1">
      <alignment horizontal="left" indent="1"/>
    </xf>
    <xf numFmtId="49" fontId="23" fillId="0" borderId="0" xfId="0" applyNumberFormat="1" applyFont="1" applyAlignment="1">
      <alignment horizontal="left" indent="1"/>
    </xf>
    <xf numFmtId="41" fontId="25" fillId="4" borderId="0" xfId="0" applyNumberFormat="1" applyFont="1" applyFill="1" applyAlignment="1">
      <alignment horizontal="right" vertical="center"/>
    </xf>
    <xf numFmtId="49" fontId="37" fillId="4" borderId="0" xfId="0" applyNumberFormat="1" applyFont="1" applyFill="1" applyAlignment="1">
      <alignment horizontal="left" vertical="center" indent="1"/>
    </xf>
    <xf numFmtId="0" fontId="38" fillId="0" borderId="0" xfId="0" applyFont="1" applyAlignment="1">
      <alignment horizontal="center" vertical="center"/>
    </xf>
    <xf numFmtId="49" fontId="35" fillId="13" borderId="0" xfId="0" applyNumberFormat="1" applyFont="1" applyFill="1" applyAlignment="1">
      <alignment horizontal="left" vertical="center" indent="1"/>
    </xf>
    <xf numFmtId="41" fontId="19" fillId="9" borderId="0" xfId="0" applyNumberFormat="1" applyFont="1" applyFill="1" applyAlignment="1">
      <alignment vertical="center"/>
    </xf>
    <xf numFmtId="0" fontId="23" fillId="0" borderId="0" xfId="0" applyFont="1" applyAlignment="1">
      <alignment horizontal="left" indent="1"/>
    </xf>
    <xf numFmtId="41" fontId="39" fillId="0" borderId="0" xfId="0" applyNumberFormat="1" applyFont="1" applyAlignment="1">
      <alignment horizontal="right"/>
    </xf>
    <xf numFmtId="0" fontId="18" fillId="9" borderId="0" xfId="0" applyFont="1" applyFill="1"/>
    <xf numFmtId="165" fontId="18" fillId="9" borderId="0" xfId="3" applyNumberFormat="1" applyFont="1" applyFill="1" applyAlignment="1">
      <alignment horizontal="right"/>
    </xf>
    <xf numFmtId="165" fontId="18" fillId="4" borderId="0" xfId="3" applyNumberFormat="1" applyFont="1" applyFill="1" applyBorder="1" applyAlignment="1">
      <alignment horizontal="right"/>
    </xf>
    <xf numFmtId="165" fontId="18" fillId="9" borderId="0" xfId="3" applyNumberFormat="1" applyFont="1" applyFill="1" applyBorder="1" applyAlignment="1">
      <alignment horizontal="right"/>
    </xf>
    <xf numFmtId="49" fontId="19" fillId="0" borderId="0" xfId="0" applyNumberFormat="1" applyFont="1" applyAlignment="1">
      <alignment horizontal="left" indent="1"/>
    </xf>
    <xf numFmtId="0" fontId="32" fillId="0" borderId="0" xfId="0" applyFont="1" applyAlignment="1">
      <alignment horizontal="left" indent="1"/>
    </xf>
    <xf numFmtId="0" fontId="20" fillId="0" borderId="0" xfId="0" applyFont="1" applyAlignment="1">
      <alignment horizontal="left" indent="1"/>
    </xf>
    <xf numFmtId="41" fontId="25" fillId="0" borderId="0" xfId="0" applyNumberFormat="1" applyFont="1"/>
    <xf numFmtId="41" fontId="23" fillId="4" borderId="0" xfId="0" applyNumberFormat="1" applyFont="1" applyFill="1" applyAlignment="1">
      <alignment vertical="center"/>
    </xf>
    <xf numFmtId="41" fontId="23" fillId="0" borderId="0" xfId="0" applyNumberFormat="1" applyFont="1" applyAlignment="1">
      <alignment horizontal="right" vertical="center"/>
    </xf>
    <xf numFmtId="41" fontId="23" fillId="4" borderId="0" xfId="0" applyNumberFormat="1" applyFont="1" applyFill="1" applyAlignment="1">
      <alignment horizontal="right" vertical="center"/>
    </xf>
    <xf numFmtId="49" fontId="19" fillId="4" borderId="0" xfId="0" applyNumberFormat="1" applyFont="1" applyFill="1" applyAlignment="1">
      <alignment horizontal="left" vertical="center" indent="1"/>
    </xf>
    <xf numFmtId="49" fontId="40" fillId="0" borderId="0" xfId="0" applyNumberFormat="1" applyFont="1" applyAlignment="1">
      <alignment horizontal="left" indent="1"/>
    </xf>
    <xf numFmtId="49" fontId="41" fillId="0" borderId="0" xfId="0" applyNumberFormat="1" applyFont="1" applyAlignment="1">
      <alignment horizontal="left" indent="1"/>
    </xf>
    <xf numFmtId="49" fontId="42" fillId="14" borderId="2" xfId="0" applyNumberFormat="1" applyFont="1" applyFill="1" applyBorder="1" applyAlignment="1">
      <alignment horizontal="left" vertical="center" indent="1"/>
    </xf>
    <xf numFmtId="41" fontId="33" fillId="14" borderId="2" xfId="0" applyNumberFormat="1" applyFont="1" applyFill="1" applyBorder="1" applyAlignment="1">
      <alignment horizontal="right" vertical="center"/>
    </xf>
    <xf numFmtId="37" fontId="43" fillId="0" borderId="0" xfId="0" applyNumberFormat="1" applyFont="1"/>
    <xf numFmtId="37" fontId="34" fillId="0" borderId="0" xfId="0" applyNumberFormat="1" applyFont="1"/>
    <xf numFmtId="37" fontId="33" fillId="0" borderId="0" xfId="0" applyNumberFormat="1" applyFont="1" applyAlignment="1">
      <alignment horizontal="right"/>
    </xf>
    <xf numFmtId="0" fontId="34" fillId="0" borderId="0" xfId="0" applyFont="1" applyAlignment="1">
      <alignment horizontal="left" indent="1"/>
    </xf>
    <xf numFmtId="164" fontId="34" fillId="0" borderId="0" xfId="0" applyNumberFormat="1" applyFont="1" applyAlignment="1">
      <alignment horizontal="right"/>
    </xf>
    <xf numFmtId="49" fontId="34" fillId="0" borderId="0" xfId="0" applyNumberFormat="1" applyFont="1" applyAlignment="1">
      <alignment horizontal="left" indent="1"/>
    </xf>
    <xf numFmtId="41" fontId="34" fillId="0" borderId="0" xfId="0" applyNumberFormat="1" applyFont="1" applyAlignment="1">
      <alignment horizontal="right"/>
    </xf>
    <xf numFmtId="0" fontId="43" fillId="0" borderId="0" xfId="0" applyFont="1" applyAlignment="1">
      <alignment horizontal="left" indent="1"/>
    </xf>
    <xf numFmtId="41" fontId="43" fillId="0" borderId="0" xfId="0" applyNumberFormat="1" applyFont="1" applyAlignment="1">
      <alignment horizontal="right"/>
    </xf>
    <xf numFmtId="164" fontId="43" fillId="0" borderId="0" xfId="0" applyNumberFormat="1" applyFont="1" applyAlignment="1">
      <alignment horizontal="right"/>
    </xf>
    <xf numFmtId="9" fontId="43" fillId="0" borderId="0" xfId="2" applyFont="1" applyFill="1"/>
    <xf numFmtId="0" fontId="34" fillId="0" borderId="0" xfId="0" applyFont="1"/>
    <xf numFmtId="49" fontId="42" fillId="0" borderId="0" xfId="0" applyNumberFormat="1" applyFont="1" applyAlignment="1">
      <alignment horizontal="left" indent="1"/>
    </xf>
    <xf numFmtId="49" fontId="45" fillId="0" borderId="0" xfId="0" applyNumberFormat="1" applyFont="1" applyAlignment="1">
      <alignment horizontal="left" indent="1"/>
    </xf>
    <xf numFmtId="49" fontId="44" fillId="14" borderId="2" xfId="0" applyNumberFormat="1" applyFont="1" applyFill="1" applyBorder="1" applyAlignment="1">
      <alignment horizontal="left" vertical="center" indent="1"/>
    </xf>
    <xf numFmtId="37" fontId="33" fillId="14" borderId="2" xfId="0" applyNumberFormat="1" applyFont="1" applyFill="1" applyBorder="1" applyAlignment="1">
      <alignment vertical="center"/>
    </xf>
    <xf numFmtId="164" fontId="34" fillId="14" borderId="2" xfId="0" applyNumberFormat="1" applyFont="1" applyFill="1" applyBorder="1" applyAlignment="1">
      <alignment horizontal="right" vertical="center"/>
    </xf>
    <xf numFmtId="49" fontId="44" fillId="15" borderId="2" xfId="0" applyNumberFormat="1" applyFont="1" applyFill="1" applyBorder="1" applyAlignment="1">
      <alignment horizontal="left" vertical="center" indent="1"/>
    </xf>
    <xf numFmtId="41" fontId="33" fillId="15" borderId="2" xfId="0" applyNumberFormat="1" applyFont="1" applyFill="1" applyBorder="1" applyAlignment="1">
      <alignment horizontal="right" vertical="center"/>
    </xf>
    <xf numFmtId="164" fontId="34" fillId="15" borderId="2" xfId="0" applyNumberFormat="1" applyFont="1" applyFill="1" applyBorder="1" applyAlignment="1">
      <alignment horizontal="right" vertical="center"/>
    </xf>
    <xf numFmtId="49" fontId="46" fillId="0" borderId="0" xfId="0" applyNumberFormat="1" applyFont="1" applyAlignment="1">
      <alignment horizontal="left" indent="1"/>
    </xf>
    <xf numFmtId="0" fontId="26" fillId="9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49" fontId="47" fillId="15" borderId="2" xfId="0" applyNumberFormat="1" applyFont="1" applyFill="1" applyBorder="1" applyAlignment="1">
      <alignment horizontal="left" vertical="center" indent="1"/>
    </xf>
    <xf numFmtId="41" fontId="33" fillId="15" borderId="2" xfId="0" applyNumberFormat="1" applyFont="1" applyFill="1" applyBorder="1" applyAlignment="1">
      <alignment vertical="center"/>
    </xf>
    <xf numFmtId="49" fontId="44" fillId="11" borderId="2" xfId="0" applyNumberFormat="1" applyFont="1" applyFill="1" applyBorder="1" applyAlignment="1">
      <alignment horizontal="left" vertical="center" indent="1"/>
    </xf>
    <xf numFmtId="41" fontId="33" fillId="11" borderId="2" xfId="0" applyNumberFormat="1" applyFont="1" applyFill="1" applyBorder="1" applyAlignment="1">
      <alignment horizontal="right" vertical="center"/>
    </xf>
    <xf numFmtId="41" fontId="46" fillId="11" borderId="2" xfId="0" applyNumberFormat="1" applyFont="1" applyFill="1" applyBorder="1" applyAlignment="1">
      <alignment horizontal="right" vertical="center"/>
    </xf>
    <xf numFmtId="49" fontId="19" fillId="0" borderId="0" xfId="0" applyNumberFormat="1" applyFont="1" applyAlignment="1">
      <alignment horizontal="left" vertical="top" indent="1"/>
    </xf>
    <xf numFmtId="41" fontId="18" fillId="9" borderId="0" xfId="0" applyNumberFormat="1" applyFont="1" applyFill="1" applyAlignment="1">
      <alignment horizontal="right" vertical="top"/>
    </xf>
    <xf numFmtId="41" fontId="18" fillId="0" borderId="0" xfId="0" applyNumberFormat="1" applyFont="1" applyAlignment="1">
      <alignment horizontal="right" vertical="top"/>
    </xf>
    <xf numFmtId="41" fontId="18" fillId="4" borderId="0" xfId="0" applyNumberFormat="1" applyFont="1" applyFill="1" applyAlignment="1">
      <alignment horizontal="right" vertical="top"/>
    </xf>
    <xf numFmtId="0" fontId="26" fillId="0" borderId="0" xfId="0" applyFont="1"/>
    <xf numFmtId="37" fontId="19" fillId="0" borderId="1" xfId="0" applyNumberFormat="1" applyFont="1" applyBorder="1" applyAlignment="1">
      <alignment horizontal="center" vertical="center" wrapText="1"/>
    </xf>
    <xf numFmtId="165" fontId="19" fillId="4" borderId="4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5" fontId="19" fillId="0" borderId="0" xfId="3" applyNumberFormat="1" applyFont="1" applyFill="1" applyBorder="1" applyAlignment="1">
      <alignment horizontal="center" vertical="center" wrapText="1"/>
    </xf>
    <xf numFmtId="37" fontId="19" fillId="16" borderId="1" xfId="0" applyNumberFormat="1" applyFont="1" applyFill="1" applyBorder="1" applyAlignment="1">
      <alignment horizontal="center" vertical="center" wrapText="1"/>
    </xf>
    <xf numFmtId="0" fontId="18" fillId="16" borderId="0" xfId="0" applyFont="1" applyFill="1"/>
    <xf numFmtId="41" fontId="19" fillId="16" borderId="0" xfId="0" applyNumberFormat="1" applyFont="1" applyFill="1"/>
    <xf numFmtId="41" fontId="18" fillId="16" borderId="0" xfId="0" applyNumberFormat="1" applyFont="1" applyFill="1" applyAlignment="1">
      <alignment horizontal="right"/>
    </xf>
    <xf numFmtId="0" fontId="38" fillId="0" borderId="0" xfId="0" applyFont="1" applyAlignment="1">
      <alignment horizontal="left" vertical="center" indent="1"/>
    </xf>
    <xf numFmtId="49" fontId="49" fillId="0" borderId="0" xfId="0" applyNumberFormat="1" applyFont="1" applyAlignment="1">
      <alignment horizontal="left" indent="1"/>
    </xf>
    <xf numFmtId="0" fontId="26" fillId="0" borderId="0" xfId="0" applyFont="1" applyAlignment="1">
      <alignment horizontal="left" indent="1"/>
    </xf>
    <xf numFmtId="0" fontId="26" fillId="16" borderId="0" xfId="0" applyFont="1" applyFill="1" applyAlignment="1">
      <alignment horizontal="center"/>
    </xf>
    <xf numFmtId="41" fontId="18" fillId="16" borderId="0" xfId="0" applyNumberFormat="1" applyFont="1" applyFill="1"/>
    <xf numFmtId="41" fontId="33" fillId="17" borderId="0" xfId="0" applyNumberFormat="1" applyFont="1" applyFill="1" applyAlignment="1">
      <alignment horizontal="right" vertical="center"/>
    </xf>
    <xf numFmtId="14" fontId="18" fillId="0" borderId="0" xfId="0" applyNumberFormat="1" applyFont="1" applyAlignment="1">
      <alignment horizontal="left" indent="1"/>
    </xf>
    <xf numFmtId="0" fontId="27" fillId="0" borderId="0" xfId="0" applyFont="1" applyAlignment="1">
      <alignment horizontal="left" indent="1"/>
    </xf>
    <xf numFmtId="38" fontId="18" fillId="0" borderId="0" xfId="0" applyNumberFormat="1" applyFont="1"/>
    <xf numFmtId="165" fontId="18" fillId="0" borderId="0" xfId="3" applyNumberFormat="1" applyFont="1" applyFill="1" applyBorder="1"/>
    <xf numFmtId="0" fontId="33" fillId="0" borderId="4" xfId="0" applyFont="1" applyBorder="1" applyAlignment="1">
      <alignment horizontal="left" vertical="center" wrapText="1" indent="1"/>
    </xf>
    <xf numFmtId="0" fontId="46" fillId="16" borderId="4" xfId="0" applyFont="1" applyFill="1" applyBorder="1" applyAlignment="1">
      <alignment horizontal="center" vertical="center" wrapText="1"/>
    </xf>
    <xf numFmtId="41" fontId="20" fillId="16" borderId="0" xfId="0" applyNumberFormat="1" applyFont="1" applyFill="1"/>
    <xf numFmtId="41" fontId="25" fillId="16" borderId="0" xfId="0" applyNumberFormat="1" applyFont="1" applyFill="1" applyAlignment="1">
      <alignment vertical="center"/>
    </xf>
    <xf numFmtId="0" fontId="21" fillId="0" borderId="0" xfId="0" applyFont="1" applyAlignment="1">
      <alignment horizontal="left" indent="1"/>
    </xf>
    <xf numFmtId="0" fontId="53" fillId="0" borderId="0" xfId="0" applyFont="1" applyAlignment="1">
      <alignment horizontal="left" indent="1"/>
    </xf>
    <xf numFmtId="165" fontId="18" fillId="16" borderId="0" xfId="3" applyNumberFormat="1" applyFont="1" applyFill="1" applyBorder="1"/>
    <xf numFmtId="0" fontId="28" fillId="16" borderId="0" xfId="0" applyFont="1" applyFill="1"/>
    <xf numFmtId="165" fontId="18" fillId="16" borderId="0" xfId="0" applyNumberFormat="1" applyFont="1" applyFill="1"/>
    <xf numFmtId="6" fontId="33" fillId="19" borderId="6" xfId="0" applyNumberFormat="1" applyFont="1" applyFill="1" applyBorder="1" applyAlignment="1">
      <alignment vertical="center"/>
    </xf>
    <xf numFmtId="6" fontId="33" fillId="18" borderId="6" xfId="0" applyNumberFormat="1" applyFont="1" applyFill="1" applyBorder="1" applyAlignment="1">
      <alignment vertical="center"/>
    </xf>
    <xf numFmtId="0" fontId="52" fillId="0" borderId="0" xfId="0" applyFont="1" applyAlignment="1">
      <alignment horizontal="left" vertical="center" indent="1"/>
    </xf>
    <xf numFmtId="6" fontId="33" fillId="0" borderId="0" xfId="0" applyNumberFormat="1" applyFont="1" applyAlignment="1">
      <alignment vertical="center"/>
    </xf>
    <xf numFmtId="0" fontId="55" fillId="0" borderId="0" xfId="0" applyFont="1" applyAlignment="1">
      <alignment horizontal="left" indent="1"/>
    </xf>
    <xf numFmtId="38" fontId="33" fillId="14" borderId="0" xfId="0" applyNumberFormat="1" applyFont="1" applyFill="1" applyAlignment="1">
      <alignment vertical="center"/>
    </xf>
    <xf numFmtId="0" fontId="33" fillId="20" borderId="4" xfId="0" applyFont="1" applyFill="1" applyBorder="1" applyAlignment="1">
      <alignment horizontal="center" vertical="center" wrapText="1"/>
    </xf>
    <xf numFmtId="0" fontId="18" fillId="20" borderId="0" xfId="0" applyFont="1" applyFill="1"/>
    <xf numFmtId="38" fontId="18" fillId="20" borderId="0" xfId="0" applyNumberFormat="1" applyFont="1" applyFill="1"/>
    <xf numFmtId="38" fontId="19" fillId="20" borderId="0" xfId="0" applyNumberFormat="1" applyFont="1" applyFill="1" applyAlignment="1">
      <alignment vertical="center"/>
    </xf>
    <xf numFmtId="165" fontId="18" fillId="20" borderId="0" xfId="3" applyNumberFormat="1" applyFont="1" applyFill="1" applyBorder="1"/>
    <xf numFmtId="165" fontId="20" fillId="20" borderId="0" xfId="3" applyNumberFormat="1" applyFont="1" applyFill="1" applyBorder="1"/>
    <xf numFmtId="165" fontId="19" fillId="20" borderId="0" xfId="3" applyNumberFormat="1" applyFont="1" applyFill="1" applyBorder="1" applyAlignment="1">
      <alignment vertical="center"/>
    </xf>
    <xf numFmtId="165" fontId="18" fillId="20" borderId="0" xfId="0" applyNumberFormat="1" applyFont="1" applyFill="1"/>
    <xf numFmtId="41" fontId="18" fillId="20" borderId="0" xfId="0" applyNumberFormat="1" applyFont="1" applyFill="1"/>
    <xf numFmtId="0" fontId="28" fillId="20" borderId="0" xfId="0" applyFont="1" applyFill="1"/>
    <xf numFmtId="41" fontId="19" fillId="20" borderId="0" xfId="0" applyNumberFormat="1" applyFont="1" applyFill="1" applyAlignment="1">
      <alignment vertical="center"/>
    </xf>
    <xf numFmtId="38" fontId="34" fillId="20" borderId="0" xfId="0" applyNumberFormat="1" applyFont="1" applyFill="1"/>
    <xf numFmtId="165" fontId="34" fillId="20" borderId="0" xfId="3" applyNumberFormat="1" applyFont="1" applyFill="1" applyBorder="1"/>
    <xf numFmtId="0" fontId="34" fillId="16" borderId="0" xfId="0" applyFont="1" applyFill="1"/>
    <xf numFmtId="165" fontId="34" fillId="16" borderId="0" xfId="3" applyNumberFormat="1" applyFont="1" applyFill="1" applyBorder="1"/>
    <xf numFmtId="41" fontId="34" fillId="16" borderId="0" xfId="0" applyNumberFormat="1" applyFont="1" applyFill="1"/>
    <xf numFmtId="41" fontId="34" fillId="20" borderId="0" xfId="0" applyNumberFormat="1" applyFont="1" applyFill="1"/>
    <xf numFmtId="165" fontId="34" fillId="16" borderId="0" xfId="0" applyNumberFormat="1" applyFont="1" applyFill="1"/>
    <xf numFmtId="41" fontId="43" fillId="16" borderId="0" xfId="0" applyNumberFormat="1" applyFont="1" applyFill="1"/>
    <xf numFmtId="165" fontId="43" fillId="20" borderId="0" xfId="3" applyNumberFormat="1" applyFont="1" applyFill="1" applyBorder="1"/>
    <xf numFmtId="0" fontId="55" fillId="0" borderId="0" xfId="0" applyFont="1" applyAlignment="1">
      <alignment horizontal="left" vertical="top" indent="1"/>
    </xf>
    <xf numFmtId="0" fontId="12" fillId="0" borderId="0" xfId="0" applyFont="1" applyAlignment="1">
      <alignment horizontal="left" wrapText="1" indent="1"/>
    </xf>
    <xf numFmtId="0" fontId="48" fillId="0" borderId="0" xfId="0" applyFont="1" applyAlignment="1">
      <alignment horizontal="left" wrapText="1" indent="1"/>
    </xf>
    <xf numFmtId="0" fontId="58" fillId="0" borderId="0" xfId="0" applyFont="1" applyAlignment="1">
      <alignment horizontal="left" vertical="center" wrapText="1" indent="1"/>
    </xf>
    <xf numFmtId="0" fontId="57" fillId="14" borderId="0" xfId="0" applyFont="1" applyFill="1" applyAlignment="1">
      <alignment horizontal="left" vertical="center" wrapText="1" indent="1"/>
    </xf>
    <xf numFmtId="0" fontId="59" fillId="0" borderId="0" xfId="0" applyFont="1" applyAlignment="1">
      <alignment horizontal="left" wrapText="1" indent="1"/>
    </xf>
    <xf numFmtId="0" fontId="60" fillId="0" borderId="0" xfId="0" applyFont="1" applyAlignment="1">
      <alignment horizontal="left" wrapText="1" indent="1"/>
    </xf>
    <xf numFmtId="0" fontId="57" fillId="0" borderId="0" xfId="0" applyFont="1" applyAlignment="1">
      <alignment horizontal="left" vertical="center" wrapText="1" indent="1"/>
    </xf>
    <xf numFmtId="0" fontId="61" fillId="0" borderId="0" xfId="0" applyFont="1" applyAlignment="1">
      <alignment horizontal="left" wrapText="1" indent="1"/>
    </xf>
    <xf numFmtId="0" fontId="62" fillId="0" borderId="0" xfId="0" applyFont="1" applyAlignment="1">
      <alignment horizontal="left" wrapText="1" indent="1"/>
    </xf>
    <xf numFmtId="0" fontId="12" fillId="0" borderId="0" xfId="0" applyFont="1" applyAlignment="1">
      <alignment horizontal="left" indent="1"/>
    </xf>
    <xf numFmtId="0" fontId="48" fillId="0" borderId="0" xfId="0" applyFont="1" applyAlignment="1">
      <alignment horizontal="left" indent="1"/>
    </xf>
    <xf numFmtId="6" fontId="58" fillId="0" borderId="0" xfId="0" applyNumberFormat="1" applyFont="1" applyAlignment="1">
      <alignment horizontal="left" vertical="center" indent="1"/>
    </xf>
    <xf numFmtId="0" fontId="57" fillId="0" borderId="0" xfId="0" applyFont="1" applyAlignment="1">
      <alignment horizontal="left" indent="1"/>
    </xf>
    <xf numFmtId="0" fontId="59" fillId="0" borderId="0" xfId="0" applyFont="1" applyAlignment="1">
      <alignment horizontal="left" indent="1"/>
    </xf>
    <xf numFmtId="0" fontId="25" fillId="0" borderId="0" xfId="0" applyFont="1" applyAlignment="1">
      <alignment horizontal="left" indent="1"/>
    </xf>
    <xf numFmtId="166" fontId="18" fillId="0" borderId="0" xfId="4" applyNumberFormat="1" applyFont="1" applyFill="1" applyBorder="1" applyAlignment="1"/>
    <xf numFmtId="166" fontId="19" fillId="21" borderId="0" xfId="4" applyNumberFormat="1" applyFont="1" applyFill="1" applyBorder="1" applyAlignment="1">
      <alignment vertical="center"/>
    </xf>
    <xf numFmtId="0" fontId="54" fillId="0" borderId="0" xfId="0" applyFont="1"/>
    <xf numFmtId="0" fontId="64" fillId="0" borderId="0" xfId="0" applyFont="1"/>
    <xf numFmtId="6" fontId="33" fillId="15" borderId="0" xfId="0" applyNumberFormat="1" applyFont="1" applyFill="1" applyAlignment="1">
      <alignment vertical="center"/>
    </xf>
    <xf numFmtId="0" fontId="57" fillId="15" borderId="0" xfId="0" applyFont="1" applyFill="1" applyAlignment="1">
      <alignment horizontal="left" vertical="center" wrapText="1" indent="1"/>
    </xf>
    <xf numFmtId="166" fontId="18" fillId="16" borderId="0" xfId="4" applyNumberFormat="1" applyFont="1" applyFill="1" applyBorder="1" applyAlignment="1"/>
    <xf numFmtId="0" fontId="52" fillId="3" borderId="0" xfId="0" applyFont="1" applyFill="1" applyAlignment="1">
      <alignment horizontal="left" vertical="center" indent="1"/>
    </xf>
    <xf numFmtId="6" fontId="33" fillId="3" borderId="0" xfId="0" applyNumberFormat="1" applyFont="1" applyFill="1" applyAlignment="1">
      <alignment vertical="center"/>
    </xf>
    <xf numFmtId="0" fontId="57" fillId="3" borderId="0" xfId="0" applyFont="1" applyFill="1" applyAlignment="1">
      <alignment horizontal="left" vertical="center" wrapText="1" indent="1"/>
    </xf>
    <xf numFmtId="0" fontId="48" fillId="3" borderId="0" xfId="0" applyFont="1" applyFill="1" applyAlignment="1">
      <alignment horizontal="left" indent="1"/>
    </xf>
    <xf numFmtId="0" fontId="18" fillId="3" borderId="0" xfId="0" applyFont="1" applyFill="1"/>
    <xf numFmtId="0" fontId="0" fillId="3" borderId="0" xfId="0" applyFill="1"/>
    <xf numFmtId="0" fontId="51" fillId="0" borderId="0" xfId="0" applyFont="1" applyAlignment="1">
      <alignment horizontal="center" vertical="center"/>
    </xf>
    <xf numFmtId="0" fontId="0" fillId="4" borderId="0" xfId="0" applyFill="1"/>
    <xf numFmtId="38" fontId="18" fillId="16" borderId="0" xfId="0" applyNumberFormat="1" applyFont="1" applyFill="1"/>
    <xf numFmtId="38" fontId="33" fillId="11" borderId="0" xfId="0" applyNumberFormat="1" applyFont="1" applyFill="1" applyAlignment="1">
      <alignment vertical="center"/>
    </xf>
    <xf numFmtId="0" fontId="54" fillId="0" borderId="0" xfId="0" applyFont="1" applyAlignment="1">
      <alignment horizontal="left" indent="1"/>
    </xf>
    <xf numFmtId="0" fontId="63" fillId="0" borderId="0" xfId="0" applyFont="1" applyAlignment="1">
      <alignment horizontal="left" wrapText="1" indent="1"/>
    </xf>
    <xf numFmtId="0" fontId="63" fillId="0" borderId="0" xfId="0" applyFont="1" applyAlignment="1">
      <alignment horizontal="left" indent="1"/>
    </xf>
    <xf numFmtId="0" fontId="56" fillId="0" borderId="0" xfId="0" applyFont="1" applyAlignment="1">
      <alignment horizontal="left" indent="1"/>
    </xf>
    <xf numFmtId="166" fontId="61" fillId="0" borderId="0" xfId="4" applyNumberFormat="1" applyFont="1" applyFill="1" applyBorder="1" applyAlignment="1"/>
    <xf numFmtId="41" fontId="48" fillId="0" borderId="0" xfId="0" applyNumberFormat="1" applyFont="1"/>
    <xf numFmtId="0" fontId="19" fillId="21" borderId="0" xfId="0" applyFont="1" applyFill="1" applyAlignment="1">
      <alignment horizontal="left" vertical="center" indent="1"/>
    </xf>
    <xf numFmtId="0" fontId="19" fillId="21" borderId="0" xfId="0" applyFont="1" applyFill="1" applyAlignment="1">
      <alignment vertical="center"/>
    </xf>
    <xf numFmtId="0" fontId="57" fillId="21" borderId="0" xfId="0" applyFont="1" applyFill="1" applyAlignment="1">
      <alignment horizontal="left" vertical="center" wrapText="1" indent="1"/>
    </xf>
    <xf numFmtId="0" fontId="57" fillId="21" borderId="0" xfId="0" applyFont="1" applyFill="1" applyAlignment="1">
      <alignment vertical="center" wrapText="1"/>
    </xf>
    <xf numFmtId="0" fontId="35" fillId="22" borderId="0" xfId="0" applyFont="1" applyFill="1" applyAlignment="1">
      <alignment vertical="center"/>
    </xf>
    <xf numFmtId="0" fontId="65" fillId="22" borderId="0" xfId="0" applyFont="1" applyFill="1" applyAlignment="1">
      <alignment horizontal="left" vertical="center" wrapText="1" indent="1"/>
    </xf>
    <xf numFmtId="166" fontId="35" fillId="22" borderId="0" xfId="4" applyNumberFormat="1" applyFont="1" applyFill="1" applyBorder="1" applyAlignment="1">
      <alignment vertical="center"/>
    </xf>
    <xf numFmtId="41" fontId="19" fillId="3" borderId="0" xfId="0" applyNumberFormat="1" applyFont="1" applyFill="1" applyAlignment="1">
      <alignment horizontal="right" vertical="center"/>
    </xf>
    <xf numFmtId="41" fontId="18" fillId="3" borderId="0" xfId="0" applyNumberFormat="1" applyFont="1" applyFill="1" applyAlignment="1">
      <alignment horizontal="right"/>
    </xf>
    <xf numFmtId="0" fontId="0" fillId="3" borderId="0" xfId="0" applyFill="1" applyAlignment="1">
      <alignment horizontal="left" indent="1"/>
    </xf>
    <xf numFmtId="0" fontId="18" fillId="3" borderId="0" xfId="0" applyFont="1" applyFill="1" applyAlignment="1">
      <alignment horizontal="left" vertical="top" indent="1"/>
    </xf>
    <xf numFmtId="49" fontId="50" fillId="0" borderId="0" xfId="0" quotePrefix="1" applyNumberFormat="1" applyFont="1" applyAlignment="1">
      <alignment horizontal="left" vertical="center" wrapText="1" indent="1"/>
    </xf>
    <xf numFmtId="165" fontId="46" fillId="14" borderId="4" xfId="0" applyNumberFormat="1" applyFont="1" applyFill="1" applyBorder="1" applyAlignment="1">
      <alignment horizontal="center" vertical="center" wrapText="1"/>
    </xf>
    <xf numFmtId="0" fontId="18" fillId="14" borderId="0" xfId="0" applyFont="1" applyFill="1"/>
    <xf numFmtId="10" fontId="21" fillId="3" borderId="0" xfId="2" applyNumberFormat="1" applyFont="1" applyFill="1" applyAlignment="1">
      <alignment horizontal="right"/>
    </xf>
    <xf numFmtId="41" fontId="6" fillId="0" borderId="0" xfId="0" applyNumberFormat="1" applyFont="1"/>
    <xf numFmtId="41" fontId="70" fillId="14" borderId="0" xfId="0" applyNumberFormat="1" applyFont="1" applyFill="1"/>
    <xf numFmtId="0" fontId="71" fillId="14" borderId="0" xfId="0" applyFont="1" applyFill="1"/>
    <xf numFmtId="0" fontId="71" fillId="0" borderId="0" xfId="0" applyFont="1"/>
    <xf numFmtId="0" fontId="70" fillId="0" borderId="0" xfId="0" applyFont="1"/>
    <xf numFmtId="41" fontId="73" fillId="14" borderId="0" xfId="0" applyNumberFormat="1" applyFont="1" applyFill="1"/>
    <xf numFmtId="0" fontId="71" fillId="3" borderId="0" xfId="0" applyFont="1" applyFill="1"/>
    <xf numFmtId="0" fontId="70" fillId="0" borderId="0" xfId="0" applyFont="1" applyAlignment="1">
      <alignment horizontal="left" indent="1"/>
    </xf>
    <xf numFmtId="49" fontId="70" fillId="0" borderId="0" xfId="0" applyNumberFormat="1" applyFont="1" applyAlignment="1">
      <alignment horizontal="left" indent="1"/>
    </xf>
    <xf numFmtId="49" fontId="75" fillId="4" borderId="0" xfId="0" applyNumberFormat="1" applyFont="1" applyFill="1" applyAlignment="1">
      <alignment horizontal="left" vertical="center" indent="1"/>
    </xf>
    <xf numFmtId="49" fontId="23" fillId="3" borderId="0" xfId="0" applyNumberFormat="1" applyFont="1" applyFill="1" applyAlignment="1">
      <alignment horizontal="left" vertical="center" indent="1"/>
    </xf>
    <xf numFmtId="166" fontId="70" fillId="14" borderId="0" xfId="0" applyNumberFormat="1" applyFont="1" applyFill="1"/>
    <xf numFmtId="166" fontId="70" fillId="14" borderId="0" xfId="4" applyNumberFormat="1" applyFont="1" applyFill="1"/>
    <xf numFmtId="0" fontId="72" fillId="3" borderId="0" xfId="0" applyFont="1" applyFill="1"/>
    <xf numFmtId="0" fontId="70" fillId="14" borderId="0" xfId="0" applyFont="1" applyFill="1"/>
    <xf numFmtId="41" fontId="77" fillId="27" borderId="0" xfId="56" applyNumberFormat="1" applyFont="1"/>
    <xf numFmtId="0" fontId="77" fillId="27" borderId="0" xfId="56" applyFont="1"/>
    <xf numFmtId="0" fontId="77" fillId="3" borderId="0" xfId="56" applyFont="1" applyFill="1"/>
    <xf numFmtId="41" fontId="77" fillId="3" borderId="0" xfId="56" applyNumberFormat="1" applyFont="1" applyFill="1"/>
    <xf numFmtId="166" fontId="77" fillId="3" borderId="0" xfId="4" applyNumberFormat="1" applyFont="1" applyFill="1"/>
    <xf numFmtId="166" fontId="78" fillId="3" borderId="0" xfId="4" applyNumberFormat="1" applyFont="1" applyFill="1"/>
    <xf numFmtId="0" fontId="74" fillId="27" borderId="4" xfId="56" applyFont="1" applyBorder="1" applyAlignment="1">
      <alignment horizontal="center" vertical="center" wrapText="1"/>
    </xf>
    <xf numFmtId="42" fontId="33" fillId="15" borderId="0" xfId="55" applyFont="1" applyFill="1" applyAlignment="1">
      <alignment vertical="center"/>
    </xf>
    <xf numFmtId="42" fontId="74" fillId="25" borderId="6" xfId="55" applyFont="1" applyFill="1" applyBorder="1" applyAlignment="1">
      <alignment horizontal="center"/>
    </xf>
    <xf numFmtId="41" fontId="21" fillId="3" borderId="0" xfId="0" applyNumberFormat="1" applyFont="1" applyFill="1" applyAlignment="1">
      <alignment horizontal="right"/>
    </xf>
    <xf numFmtId="41" fontId="21" fillId="3" borderId="0" xfId="0" applyNumberFormat="1" applyFont="1" applyFill="1"/>
    <xf numFmtId="41" fontId="36" fillId="3" borderId="0" xfId="0" applyNumberFormat="1" applyFont="1" applyFill="1"/>
    <xf numFmtId="41" fontId="23" fillId="3" borderId="0" xfId="0" applyNumberFormat="1" applyFont="1" applyFill="1" applyAlignment="1">
      <alignment horizontal="right"/>
    </xf>
    <xf numFmtId="41" fontId="24" fillId="3" borderId="0" xfId="0" applyNumberFormat="1" applyFont="1" applyFill="1"/>
    <xf numFmtId="41" fontId="68" fillId="28" borderId="0" xfId="57" applyNumberFormat="1" applyFont="1" applyAlignment="1">
      <alignment horizontal="right"/>
    </xf>
    <xf numFmtId="166" fontId="74" fillId="26" borderId="6" xfId="4" applyNumberFormat="1" applyFont="1" applyFill="1" applyBorder="1"/>
    <xf numFmtId="166" fontId="73" fillId="14" borderId="6" xfId="4" applyNumberFormat="1" applyFont="1" applyFill="1" applyBorder="1"/>
    <xf numFmtId="42" fontId="74" fillId="24" borderId="3" xfId="55" applyFont="1" applyFill="1" applyBorder="1" applyAlignment="1">
      <alignment horizontal="center"/>
    </xf>
    <xf numFmtId="166" fontId="73" fillId="14" borderId="5" xfId="0" applyNumberFormat="1" applyFont="1" applyFill="1" applyBorder="1"/>
    <xf numFmtId="10" fontId="6" fillId="23" borderId="0" xfId="2" applyNumberFormat="1" applyFont="1" applyFill="1"/>
    <xf numFmtId="10" fontId="19" fillId="23" borderId="4" xfId="2" applyNumberFormat="1" applyFont="1" applyFill="1" applyBorder="1" applyAlignment="1">
      <alignment horizontal="center" vertical="top" wrapText="1"/>
    </xf>
    <xf numFmtId="10" fontId="19" fillId="23" borderId="0" xfId="2" applyNumberFormat="1" applyFont="1" applyFill="1" applyAlignment="1">
      <alignment vertical="center"/>
    </xf>
    <xf numFmtId="10" fontId="18" fillId="23" borderId="0" xfId="2" applyNumberFormat="1" applyFont="1" applyFill="1"/>
    <xf numFmtId="10" fontId="21" fillId="23" borderId="0" xfId="2" applyNumberFormat="1" applyFont="1" applyFill="1" applyAlignment="1">
      <alignment horizontal="right"/>
    </xf>
    <xf numFmtId="10" fontId="19" fillId="3" borderId="0" xfId="2" applyNumberFormat="1" applyFont="1" applyFill="1" applyAlignment="1">
      <alignment horizontal="right" vertical="center"/>
    </xf>
    <xf numFmtId="10" fontId="18" fillId="23" borderId="0" xfId="2" applyNumberFormat="1" applyFont="1" applyFill="1" applyAlignment="1">
      <alignment horizontal="right"/>
    </xf>
    <xf numFmtId="10" fontId="23" fillId="23" borderId="0" xfId="2" applyNumberFormat="1" applyFont="1" applyFill="1" applyAlignment="1">
      <alignment horizontal="right"/>
    </xf>
    <xf numFmtId="10" fontId="67" fillId="14" borderId="6" xfId="2" applyNumberFormat="1" applyFont="1" applyFill="1" applyBorder="1" applyAlignment="1">
      <alignment horizontal="right" vertical="center"/>
    </xf>
    <xf numFmtId="10" fontId="18" fillId="3" borderId="0" xfId="2" applyNumberFormat="1" applyFont="1" applyFill="1"/>
    <xf numFmtId="10" fontId="19" fillId="23" borderId="0" xfId="2" applyNumberFormat="1" applyFont="1" applyFill="1" applyAlignment="1">
      <alignment vertical="top"/>
    </xf>
    <xf numFmtId="10" fontId="24" fillId="23" borderId="0" xfId="2" applyNumberFormat="1" applyFont="1" applyFill="1"/>
    <xf numFmtId="10" fontId="18" fillId="23" borderId="0" xfId="2" applyNumberFormat="1" applyFont="1" applyFill="1" applyBorder="1"/>
    <xf numFmtId="10" fontId="19" fillId="23" borderId="0" xfId="2" applyNumberFormat="1" applyFont="1" applyFill="1"/>
    <xf numFmtId="10" fontId="18" fillId="23" borderId="0" xfId="2" applyNumberFormat="1" applyFont="1" applyFill="1" applyBorder="1" applyAlignment="1">
      <alignment horizontal="right"/>
    </xf>
    <xf numFmtId="10" fontId="18" fillId="4" borderId="0" xfId="2" applyNumberFormat="1" applyFont="1" applyFill="1" applyAlignment="1">
      <alignment horizontal="right"/>
    </xf>
    <xf numFmtId="10" fontId="18" fillId="4" borderId="0" xfId="2" applyNumberFormat="1" applyFont="1" applyFill="1"/>
    <xf numFmtId="10" fontId="18" fillId="3" borderId="0" xfId="2" applyNumberFormat="1" applyFont="1" applyFill="1" applyAlignment="1">
      <alignment horizontal="right"/>
    </xf>
    <xf numFmtId="10" fontId="21" fillId="4" borderId="0" xfId="2" applyNumberFormat="1" applyFont="1" applyFill="1" applyAlignment="1">
      <alignment horizontal="right"/>
    </xf>
    <xf numFmtId="10" fontId="18" fillId="4" borderId="0" xfId="2" applyNumberFormat="1" applyFont="1" applyFill="1" applyAlignment="1">
      <alignment horizontal="right" vertical="top"/>
    </xf>
    <xf numFmtId="10" fontId="46" fillId="11" borderId="2" xfId="2" applyNumberFormat="1" applyFont="1" applyFill="1" applyBorder="1" applyAlignment="1">
      <alignment horizontal="right" vertical="center"/>
    </xf>
    <xf numFmtId="10" fontId="5" fillId="3" borderId="0" xfId="2" applyNumberFormat="1" applyFont="1" applyFill="1" applyAlignment="1">
      <alignment horizontal="right"/>
    </xf>
    <xf numFmtId="10" fontId="5" fillId="3" borderId="0" xfId="2" applyNumberFormat="1" applyFont="1" applyFill="1"/>
    <xf numFmtId="10" fontId="8" fillId="3" borderId="0" xfId="2" applyNumberFormat="1" applyFont="1" applyFill="1"/>
    <xf numFmtId="10" fontId="12" fillId="3" borderId="0" xfId="2" applyNumberFormat="1" applyFont="1" applyFill="1"/>
    <xf numFmtId="10" fontId="6" fillId="3" borderId="0" xfId="2" applyNumberFormat="1" applyFont="1" applyFill="1"/>
    <xf numFmtId="0" fontId="79" fillId="16" borderId="4" xfId="0" applyFont="1" applyFill="1" applyBorder="1" applyAlignment="1">
      <alignment horizontal="center" vertical="center" wrapText="1"/>
    </xf>
    <xf numFmtId="10" fontId="69" fillId="3" borderId="0" xfId="2" applyNumberFormat="1" applyFont="1" applyFill="1" applyAlignment="1">
      <alignment horizontal="right"/>
    </xf>
    <xf numFmtId="49" fontId="80" fillId="0" borderId="0" xfId="0" applyNumberFormat="1" applyFont="1" applyAlignment="1">
      <alignment horizontal="left" indent="1"/>
    </xf>
    <xf numFmtId="41" fontId="69" fillId="9" borderId="0" xfId="0" applyNumberFormat="1" applyFont="1" applyFill="1" applyAlignment="1">
      <alignment horizontal="right"/>
    </xf>
    <xf numFmtId="41" fontId="69" fillId="3" borderId="0" xfId="0" applyNumberFormat="1" applyFont="1" applyFill="1" applyAlignment="1">
      <alignment horizontal="right"/>
    </xf>
    <xf numFmtId="49" fontId="81" fillId="14" borderId="0" xfId="0" applyNumberFormat="1" applyFont="1" applyFill="1" applyAlignment="1">
      <alignment horizontal="left" indent="1"/>
    </xf>
    <xf numFmtId="41" fontId="81" fillId="14" borderId="0" xfId="0" applyNumberFormat="1" applyFont="1" applyFill="1"/>
    <xf numFmtId="41" fontId="18" fillId="14" borderId="0" xfId="0" applyNumberFormat="1" applyFont="1" applyFill="1"/>
    <xf numFmtId="10" fontId="21" fillId="14" borderId="0" xfId="2" applyNumberFormat="1" applyFont="1" applyFill="1" applyAlignment="1">
      <alignment horizontal="right"/>
    </xf>
    <xf numFmtId="41" fontId="25" fillId="16" borderId="0" xfId="0" applyNumberFormat="1" applyFont="1" applyFill="1"/>
    <xf numFmtId="38" fontId="33" fillId="14" borderId="0" xfId="0" applyNumberFormat="1" applyFont="1" applyFill="1"/>
    <xf numFmtId="0" fontId="52" fillId="15" borderId="0" xfId="0" applyFont="1" applyFill="1" applyAlignment="1">
      <alignment horizontal="left" indent="1"/>
    </xf>
    <xf numFmtId="0" fontId="57" fillId="15" borderId="6" xfId="0" applyFont="1" applyFill="1" applyBorder="1" applyAlignment="1">
      <alignment horizontal="left" wrapText="1"/>
    </xf>
    <xf numFmtId="41" fontId="33" fillId="15" borderId="6" xfId="0" applyNumberFormat="1" applyFont="1" applyFill="1" applyBorder="1"/>
    <xf numFmtId="0" fontId="52" fillId="15" borderId="0" xfId="0" applyFont="1" applyFill="1" applyAlignment="1">
      <alignment horizontal="left"/>
    </xf>
    <xf numFmtId="6" fontId="33" fillId="15" borderId="0" xfId="0" applyNumberFormat="1" applyFont="1" applyFill="1"/>
    <xf numFmtId="0" fontId="48" fillId="15" borderId="0" xfId="0" applyFont="1" applyFill="1" applyAlignment="1">
      <alignment horizontal="left" wrapText="1"/>
    </xf>
    <xf numFmtId="0" fontId="57" fillId="15" borderId="0" xfId="0" applyFont="1" applyFill="1" applyAlignment="1">
      <alignment horizontal="left" wrapText="1"/>
    </xf>
    <xf numFmtId="0" fontId="57" fillId="15" borderId="3" xfId="0" applyFont="1" applyFill="1" applyBorder="1" applyAlignment="1">
      <alignment horizontal="left" wrapText="1"/>
    </xf>
    <xf numFmtId="41" fontId="33" fillId="15" borderId="3" xfId="0" applyNumberFormat="1" applyFont="1" applyFill="1" applyBorder="1"/>
    <xf numFmtId="0" fontId="74" fillId="18" borderId="6" xfId="0" applyFont="1" applyFill="1" applyBorder="1" applyAlignment="1">
      <alignment horizontal="left"/>
    </xf>
    <xf numFmtId="6" fontId="33" fillId="18" borderId="6" xfId="0" applyNumberFormat="1" applyFont="1" applyFill="1" applyBorder="1"/>
    <xf numFmtId="0" fontId="57" fillId="18" borderId="6" xfId="0" applyFont="1" applyFill="1" applyBorder="1" applyAlignment="1">
      <alignment horizontal="left" wrapText="1"/>
    </xf>
    <xf numFmtId="41" fontId="33" fillId="18" borderId="6" xfId="0" applyNumberFormat="1" applyFont="1" applyFill="1" applyBorder="1"/>
    <xf numFmtId="0" fontId="66" fillId="11" borderId="0" xfId="0" applyFont="1" applyFill="1"/>
    <xf numFmtId="0" fontId="34" fillId="11" borderId="0" xfId="0" applyFont="1" applyFill="1" applyAlignment="1">
      <alignment horizontal="left" wrapText="1"/>
    </xf>
    <xf numFmtId="38" fontId="33" fillId="11" borderId="0" xfId="0" applyNumberFormat="1" applyFont="1" applyFill="1"/>
    <xf numFmtId="0" fontId="48" fillId="11" borderId="0" xfId="0" applyFont="1" applyFill="1" applyAlignment="1">
      <alignment horizontal="left" wrapText="1"/>
    </xf>
    <xf numFmtId="0" fontId="48" fillId="11" borderId="5" xfId="0" applyFont="1" applyFill="1" applyBorder="1" applyAlignment="1">
      <alignment horizontal="left" wrapText="1"/>
    </xf>
    <xf numFmtId="166" fontId="19" fillId="21" borderId="6" xfId="4" applyNumberFormat="1" applyFont="1" applyFill="1" applyBorder="1" applyAlignment="1"/>
    <xf numFmtId="166" fontId="35" fillId="22" borderId="5" xfId="4" applyNumberFormat="1" applyFont="1" applyFill="1" applyBorder="1" applyAlignment="1"/>
    <xf numFmtId="0" fontId="35" fillId="22" borderId="0" xfId="0" applyFont="1" applyFill="1" applyAlignment="1">
      <alignment horizontal="left" indent="1"/>
    </xf>
    <xf numFmtId="166" fontId="18" fillId="21" borderId="3" xfId="4" applyNumberFormat="1" applyFont="1" applyFill="1" applyBorder="1" applyAlignment="1"/>
    <xf numFmtId="165" fontId="33" fillId="14" borderId="0" xfId="3" applyNumberFormat="1" applyFont="1" applyFill="1" applyBorder="1" applyAlignment="1"/>
    <xf numFmtId="0" fontId="57" fillId="14" borderId="0" xfId="0" applyFont="1" applyFill="1" applyAlignment="1">
      <alignment horizontal="left" wrapText="1"/>
    </xf>
    <xf numFmtId="38" fontId="46" fillId="14" borderId="0" xfId="5" applyNumberFormat="1" applyFont="1" applyFill="1" applyBorder="1" applyAlignment="1"/>
    <xf numFmtId="41" fontId="20" fillId="9" borderId="0" xfId="0" applyNumberFormat="1" applyFont="1" applyFill="1" applyAlignment="1">
      <alignment horizontal="right"/>
    </xf>
    <xf numFmtId="41" fontId="22" fillId="4" borderId="0" xfId="0" applyNumberFormat="1" applyFont="1" applyFill="1" applyAlignment="1">
      <alignment horizontal="right" vertical="center"/>
    </xf>
    <xf numFmtId="49" fontId="75" fillId="0" borderId="0" xfId="0" applyNumberFormat="1" applyFont="1" applyAlignment="1">
      <alignment horizontal="left" vertical="center" indent="1"/>
    </xf>
    <xf numFmtId="41" fontId="22" fillId="29" borderId="0" xfId="0" applyNumberFormat="1" applyFont="1" applyFill="1" applyAlignment="1">
      <alignment horizontal="right" vertical="center"/>
    </xf>
    <xf numFmtId="41" fontId="22" fillId="0" borderId="0" xfId="0" applyNumberFormat="1" applyFont="1" applyAlignment="1">
      <alignment horizontal="right"/>
    </xf>
    <xf numFmtId="41" fontId="25" fillId="0" borderId="0" xfId="0" applyNumberFormat="1" applyFont="1" applyAlignment="1">
      <alignment horizontal="right"/>
    </xf>
    <xf numFmtId="165" fontId="25" fillId="4" borderId="4" xfId="3" applyNumberFormat="1" applyFont="1" applyFill="1" applyBorder="1" applyAlignment="1">
      <alignment horizontal="center" vertical="top" wrapText="1"/>
    </xf>
    <xf numFmtId="41" fontId="0" fillId="0" borderId="0" xfId="0" applyNumberFormat="1"/>
    <xf numFmtId="41" fontId="21" fillId="0" borderId="4" xfId="0" applyNumberFormat="1" applyFont="1" applyBorder="1" applyAlignment="1">
      <alignment horizontal="right"/>
    </xf>
    <xf numFmtId="41" fontId="18" fillId="16" borderId="4" xfId="0" applyNumberFormat="1" applyFont="1" applyFill="1" applyBorder="1" applyAlignment="1">
      <alignment horizontal="right"/>
    </xf>
    <xf numFmtId="41" fontId="18" fillId="0" borderId="4" xfId="0" applyNumberFormat="1" applyFont="1" applyBorder="1" applyAlignment="1">
      <alignment horizontal="right"/>
    </xf>
    <xf numFmtId="41" fontId="46" fillId="17" borderId="5" xfId="0" applyNumberFormat="1" applyFont="1" applyFill="1" applyBorder="1" applyAlignment="1">
      <alignment horizontal="right" vertical="center"/>
    </xf>
    <xf numFmtId="41" fontId="33" fillId="17" borderId="5" xfId="0" applyNumberFormat="1" applyFont="1" applyFill="1" applyBorder="1" applyAlignment="1">
      <alignment horizontal="right" vertical="center"/>
    </xf>
    <xf numFmtId="37" fontId="19" fillId="9" borderId="1" xfId="0" applyNumberFormat="1" applyFont="1" applyFill="1" applyBorder="1" applyAlignment="1">
      <alignment horizontal="center" vertical="center" wrapText="1"/>
    </xf>
    <xf numFmtId="41" fontId="37" fillId="3" borderId="0" xfId="0" applyNumberFormat="1" applyFont="1" applyFill="1" applyAlignment="1">
      <alignment horizontal="right"/>
    </xf>
    <xf numFmtId="49" fontId="23" fillId="0" borderId="0" xfId="0" applyNumberFormat="1" applyFont="1" applyAlignment="1">
      <alignment horizontal="left" vertical="center" indent="1"/>
    </xf>
    <xf numFmtId="41" fontId="37" fillId="30" borderId="5" xfId="0" applyNumberFormat="1" applyFont="1" applyFill="1" applyBorder="1" applyAlignment="1">
      <alignment horizontal="right" vertical="center"/>
    </xf>
    <xf numFmtId="41" fontId="23" fillId="30" borderId="5" xfId="0" applyNumberFormat="1" applyFont="1" applyFill="1" applyBorder="1"/>
    <xf numFmtId="41" fontId="37" fillId="4" borderId="6" xfId="0" applyNumberFormat="1" applyFont="1" applyFill="1" applyBorder="1" applyAlignment="1">
      <alignment vertical="center"/>
    </xf>
    <xf numFmtId="41" fontId="19" fillId="4" borderId="6" xfId="0" applyNumberFormat="1" applyFont="1" applyFill="1" applyBorder="1" applyAlignment="1">
      <alignment vertical="center"/>
    </xf>
    <xf numFmtId="41" fontId="18" fillId="4" borderId="6" xfId="0" applyNumberFormat="1" applyFont="1" applyFill="1" applyBorder="1"/>
    <xf numFmtId="41" fontId="37" fillId="4" borderId="6" xfId="0" applyNumberFormat="1" applyFont="1" applyFill="1" applyBorder="1" applyAlignment="1">
      <alignment horizontal="right" vertical="center"/>
    </xf>
    <xf numFmtId="41" fontId="19" fillId="4" borderId="6" xfId="0" applyNumberFormat="1" applyFont="1" applyFill="1" applyBorder="1" applyAlignment="1">
      <alignment horizontal="right" vertical="center"/>
    </xf>
    <xf numFmtId="0" fontId="26" fillId="0" borderId="0" xfId="0" applyFont="1" applyAlignment="1">
      <alignment vertical="center"/>
    </xf>
    <xf numFmtId="0" fontId="19" fillId="0" borderId="4" xfId="0" applyFont="1" applyBorder="1" applyAlignment="1">
      <alignment vertical="center"/>
    </xf>
    <xf numFmtId="37" fontId="19" fillId="3" borderId="1" xfId="0" applyNumberFormat="1" applyFont="1" applyFill="1" applyBorder="1" applyAlignment="1">
      <alignment horizontal="center" vertical="center" wrapText="1"/>
    </xf>
    <xf numFmtId="37" fontId="19" fillId="31" borderId="1" xfId="0" applyNumberFormat="1" applyFont="1" applyFill="1" applyBorder="1" applyAlignment="1">
      <alignment horizontal="center" vertical="center" wrapText="1"/>
    </xf>
    <xf numFmtId="0" fontId="18" fillId="31" borderId="0" xfId="0" applyFont="1" applyFill="1"/>
    <xf numFmtId="41" fontId="24" fillId="31" borderId="0" xfId="0" applyNumberFormat="1" applyFont="1" applyFill="1"/>
    <xf numFmtId="41" fontId="21" fillId="31" borderId="0" xfId="0" applyNumberFormat="1" applyFont="1" applyFill="1" applyAlignment="1">
      <alignment horizontal="right"/>
    </xf>
    <xf numFmtId="49" fontId="37" fillId="3" borderId="0" xfId="0" applyNumberFormat="1" applyFont="1" applyFill="1" applyAlignment="1">
      <alignment horizontal="left" vertical="center" indent="1"/>
    </xf>
    <xf numFmtId="41" fontId="25" fillId="30" borderId="5" xfId="0" applyNumberFormat="1" applyFont="1" applyFill="1" applyBorder="1" applyAlignment="1">
      <alignment horizontal="right" vertical="center"/>
    </xf>
    <xf numFmtId="0" fontId="19" fillId="0" borderId="4" xfId="0" applyFont="1" applyBorder="1"/>
    <xf numFmtId="0" fontId="6" fillId="0" borderId="4" xfId="0" applyFont="1" applyBorder="1"/>
    <xf numFmtId="49" fontId="33" fillId="3" borderId="0" xfId="0" applyNumberFormat="1" applyFont="1" applyFill="1" applyAlignment="1">
      <alignment horizontal="left" vertical="center" indent="1"/>
    </xf>
    <xf numFmtId="41" fontId="18" fillId="31" borderId="0" xfId="0" applyNumberFormat="1" applyFont="1" applyFill="1" applyAlignment="1">
      <alignment horizontal="right"/>
    </xf>
    <xf numFmtId="37" fontId="19" fillId="0" borderId="0" xfId="0" applyNumberFormat="1" applyFont="1" applyAlignment="1">
      <alignment horizontal="center" vertical="center" wrapText="1"/>
    </xf>
    <xf numFmtId="0" fontId="82" fillId="0" borderId="4" xfId="0" applyFont="1" applyBorder="1" applyAlignment="1">
      <alignment horizontal="center"/>
    </xf>
    <xf numFmtId="41" fontId="33" fillId="17" borderId="5" xfId="0" applyNumberFormat="1" applyFont="1" applyFill="1" applyBorder="1" applyAlignment="1">
      <alignment vertical="center"/>
    </xf>
    <xf numFmtId="0" fontId="23" fillId="3" borderId="0" xfId="0" applyFont="1" applyFill="1" applyAlignment="1">
      <alignment horizontal="left" vertical="center" indent="1"/>
    </xf>
    <xf numFmtId="41" fontId="18" fillId="32" borderId="5" xfId="0" applyNumberFormat="1" applyFont="1" applyFill="1" applyBorder="1" applyAlignment="1">
      <alignment horizontal="right"/>
    </xf>
    <xf numFmtId="41" fontId="21" fillId="32" borderId="5" xfId="0" applyNumberFormat="1" applyFont="1" applyFill="1" applyBorder="1" applyAlignment="1">
      <alignment horizontal="right"/>
    </xf>
    <xf numFmtId="49" fontId="20" fillId="0" borderId="0" xfId="0" applyNumberFormat="1" applyFont="1" applyAlignment="1">
      <alignment horizontal="left" indent="1"/>
    </xf>
    <xf numFmtId="0" fontId="26" fillId="0" borderId="4" xfId="0" applyFont="1" applyBorder="1" applyAlignment="1">
      <alignment horizontal="center"/>
    </xf>
    <xf numFmtId="37" fontId="19" fillId="0" borderId="3" xfId="0" applyNumberFormat="1" applyFont="1" applyBorder="1" applyAlignment="1">
      <alignment horizontal="center" vertical="center"/>
    </xf>
    <xf numFmtId="41" fontId="21" fillId="3" borderId="0" xfId="0" applyNumberFormat="1" applyFont="1" applyFill="1" applyAlignment="1">
      <alignment horizontal="left"/>
    </xf>
    <xf numFmtId="41" fontId="18" fillId="32" borderId="5" xfId="0" applyNumberFormat="1" applyFont="1" applyFill="1" applyBorder="1"/>
    <xf numFmtId="165" fontId="18" fillId="14" borderId="0" xfId="3" applyNumberFormat="1" applyFont="1" applyFill="1"/>
    <xf numFmtId="41" fontId="73" fillId="16" borderId="0" xfId="0" applyNumberFormat="1" applyFont="1" applyFill="1"/>
    <xf numFmtId="0" fontId="51" fillId="31" borderId="4" xfId="56" applyFont="1" applyFill="1" applyBorder="1" applyAlignment="1">
      <alignment horizontal="center" vertical="center" wrapText="1"/>
    </xf>
    <xf numFmtId="165" fontId="46" fillId="31" borderId="4" xfId="0" applyNumberFormat="1" applyFont="1" applyFill="1" applyBorder="1" applyAlignment="1">
      <alignment horizontal="center" vertical="center" wrapText="1"/>
    </xf>
    <xf numFmtId="41" fontId="21" fillId="31" borderId="0" xfId="0" applyNumberFormat="1" applyFont="1" applyFill="1"/>
    <xf numFmtId="41" fontId="68" fillId="31" borderId="0" xfId="0" applyNumberFormat="1" applyFont="1" applyFill="1" applyAlignment="1">
      <alignment horizontal="right"/>
    </xf>
    <xf numFmtId="41" fontId="70" fillId="31" borderId="0" xfId="0" applyNumberFormat="1" applyFont="1" applyFill="1"/>
    <xf numFmtId="41" fontId="73" fillId="31" borderId="0" xfId="0" applyNumberFormat="1" applyFont="1" applyFill="1"/>
    <xf numFmtId="0" fontId="28" fillId="31" borderId="0" xfId="0" applyFont="1" applyFill="1"/>
    <xf numFmtId="38" fontId="33" fillId="16" borderId="0" xfId="0" applyNumberFormat="1" applyFont="1" applyFill="1" applyAlignment="1">
      <alignment vertical="center"/>
    </xf>
    <xf numFmtId="0" fontId="57" fillId="16" borderId="0" xfId="0" applyFont="1" applyFill="1" applyAlignment="1">
      <alignment horizontal="left" vertical="center" wrapText="1" indent="1"/>
    </xf>
    <xf numFmtId="0" fontId="52" fillId="33" borderId="6" xfId="0" applyFont="1" applyFill="1" applyBorder="1" applyAlignment="1">
      <alignment horizontal="left"/>
    </xf>
    <xf numFmtId="6" fontId="33" fillId="33" borderId="6" xfId="0" applyNumberFormat="1" applyFont="1" applyFill="1" applyBorder="1"/>
    <xf numFmtId="0" fontId="57" fillId="33" borderId="6" xfId="0" applyFont="1" applyFill="1" applyBorder="1" applyAlignment="1">
      <alignment horizontal="left" wrapText="1"/>
    </xf>
    <xf numFmtId="165" fontId="18" fillId="16" borderId="0" xfId="3" applyNumberFormat="1" applyFont="1" applyFill="1"/>
    <xf numFmtId="49" fontId="25" fillId="4" borderId="0" xfId="0" applyNumberFormat="1" applyFont="1" applyFill="1" applyAlignment="1">
      <alignment horizontal="left" indent="1"/>
    </xf>
    <xf numFmtId="49" fontId="25" fillId="3" borderId="0" xfId="0" applyNumberFormat="1" applyFont="1" applyFill="1" applyAlignment="1">
      <alignment horizontal="left" indent="1"/>
    </xf>
    <xf numFmtId="41" fontId="18" fillId="3" borderId="0" xfId="0" applyNumberFormat="1" applyFont="1" applyFill="1"/>
    <xf numFmtId="38" fontId="33" fillId="16" borderId="0" xfId="0" applyNumberFormat="1" applyFont="1" applyFill="1"/>
    <xf numFmtId="166" fontId="73" fillId="15" borderId="6" xfId="4" applyNumberFormat="1" applyFont="1" applyFill="1" applyBorder="1"/>
    <xf numFmtId="0" fontId="52" fillId="15" borderId="0" xfId="0" applyFont="1" applyFill="1" applyAlignment="1">
      <alignment horizontal="left" vertical="center" indent="1"/>
    </xf>
    <xf numFmtId="0" fontId="51" fillId="34" borderId="0" xfId="0" applyFont="1" applyFill="1" applyAlignment="1">
      <alignment horizontal="left"/>
    </xf>
    <xf numFmtId="38" fontId="33" fillId="34" borderId="5" xfId="0" applyNumberFormat="1" applyFont="1" applyFill="1" applyBorder="1"/>
    <xf numFmtId="166" fontId="73" fillId="34" borderId="5" xfId="0" applyNumberFormat="1" applyFont="1" applyFill="1" applyBorder="1"/>
    <xf numFmtId="166" fontId="70" fillId="31" borderId="0" xfId="4" applyNumberFormat="1" applyFont="1" applyFill="1"/>
    <xf numFmtId="0" fontId="34" fillId="3" borderId="0" xfId="0" applyFont="1" applyFill="1"/>
    <xf numFmtId="165" fontId="21" fillId="9" borderId="0" xfId="3" applyNumberFormat="1" applyFont="1" applyFill="1"/>
    <xf numFmtId="41" fontId="25" fillId="9" borderId="0" xfId="0" applyNumberFormat="1" applyFont="1" applyFill="1" applyAlignment="1">
      <alignment horizontal="right"/>
    </xf>
    <xf numFmtId="41" fontId="37" fillId="4" borderId="0" xfId="0" applyNumberFormat="1" applyFont="1" applyFill="1" applyAlignment="1">
      <alignment vertical="center"/>
    </xf>
    <xf numFmtId="41" fontId="37" fillId="4" borderId="0" xfId="0" applyNumberFormat="1" applyFont="1" applyFill="1" applyAlignment="1">
      <alignment horizontal="right" vertical="center"/>
    </xf>
    <xf numFmtId="41" fontId="25" fillId="29" borderId="0" xfId="0" applyNumberFormat="1" applyFont="1" applyFill="1" applyAlignment="1">
      <alignment horizontal="right" vertical="center"/>
    </xf>
    <xf numFmtId="0" fontId="77" fillId="0" borderId="0" xfId="56" applyFont="1" applyFill="1"/>
    <xf numFmtId="49" fontId="23" fillId="20" borderId="0" xfId="0" applyNumberFormat="1" applyFont="1" applyFill="1" applyAlignment="1">
      <alignment horizontal="left" indent="1"/>
    </xf>
    <xf numFmtId="41" fontId="19" fillId="3" borderId="0" xfId="0" applyNumberFormat="1" applyFont="1" applyFill="1"/>
    <xf numFmtId="0" fontId="51" fillId="14" borderId="4" xfId="56" applyFont="1" applyFill="1" applyBorder="1" applyAlignment="1">
      <alignment horizontal="center" vertical="center" wrapText="1"/>
    </xf>
    <xf numFmtId="41" fontId="21" fillId="14" borderId="0" xfId="0" applyNumberFormat="1" applyFont="1" applyFill="1"/>
    <xf numFmtId="165" fontId="18" fillId="14" borderId="0" xfId="0" applyNumberFormat="1" applyFont="1" applyFill="1"/>
    <xf numFmtId="0" fontId="28" fillId="14" borderId="0" xfId="0" applyFont="1" applyFill="1"/>
    <xf numFmtId="49" fontId="23" fillId="3" borderId="0" xfId="0" applyNumberFormat="1" applyFont="1" applyFill="1" applyAlignment="1">
      <alignment horizontal="left" indent="1"/>
    </xf>
    <xf numFmtId="0" fontId="51" fillId="0" borderId="4" xfId="56" applyFont="1" applyFill="1" applyBorder="1" applyAlignment="1">
      <alignment horizontal="center" vertical="center" wrapText="1"/>
    </xf>
    <xf numFmtId="165" fontId="18" fillId="0" borderId="0" xfId="0" applyNumberFormat="1" applyFont="1"/>
    <xf numFmtId="41" fontId="73" fillId="0" borderId="0" xfId="0" applyNumberFormat="1" applyFont="1"/>
    <xf numFmtId="166" fontId="74" fillId="0" borderId="6" xfId="4" applyNumberFormat="1" applyFont="1" applyFill="1" applyBorder="1"/>
    <xf numFmtId="166" fontId="73" fillId="0" borderId="6" xfId="4" applyNumberFormat="1" applyFont="1" applyFill="1" applyBorder="1"/>
    <xf numFmtId="42" fontId="74" fillId="0" borderId="3" xfId="55" applyFont="1" applyFill="1" applyBorder="1" applyAlignment="1">
      <alignment horizontal="center"/>
    </xf>
    <xf numFmtId="42" fontId="74" fillId="0" borderId="6" xfId="55" applyFont="1" applyFill="1" applyBorder="1" applyAlignment="1">
      <alignment horizontal="center"/>
    </xf>
    <xf numFmtId="166" fontId="70" fillId="0" borderId="0" xfId="0" applyNumberFormat="1" applyFont="1"/>
    <xf numFmtId="166" fontId="73" fillId="0" borderId="5" xfId="0" applyNumberFormat="1" applyFont="1" applyBorder="1"/>
    <xf numFmtId="166" fontId="0" fillId="0" borderId="0" xfId="0" applyNumberFormat="1"/>
    <xf numFmtId="166" fontId="70" fillId="0" borderId="0" xfId="4" applyNumberFormat="1" applyFont="1" applyFill="1"/>
    <xf numFmtId="41" fontId="70" fillId="0" borderId="0" xfId="0" applyNumberFormat="1" applyFont="1"/>
    <xf numFmtId="166" fontId="19" fillId="0" borderId="0" xfId="4" applyNumberFormat="1" applyFont="1" applyFill="1" applyBorder="1" applyAlignment="1"/>
    <xf numFmtId="166" fontId="35" fillId="0" borderId="0" xfId="4" applyNumberFormat="1" applyFont="1" applyFill="1" applyBorder="1" applyAlignment="1"/>
    <xf numFmtId="166" fontId="18" fillId="0" borderId="0" xfId="0" applyNumberFormat="1" applyFont="1"/>
    <xf numFmtId="166" fontId="18" fillId="0" borderId="6" xfId="0" applyNumberFormat="1" applyFont="1" applyBorder="1"/>
    <xf numFmtId="0" fontId="83" fillId="0" borderId="0" xfId="0" applyFont="1" applyAlignment="1">
      <alignment horizontal="left" indent="1"/>
    </xf>
    <xf numFmtId="0" fontId="84" fillId="0" borderId="0" xfId="0" applyFont="1" applyAlignment="1">
      <alignment horizontal="center"/>
    </xf>
    <xf numFmtId="41" fontId="20" fillId="3" borderId="0" xfId="0" applyNumberFormat="1" applyFont="1" applyFill="1" applyAlignment="1">
      <alignment horizontal="right"/>
    </xf>
    <xf numFmtId="41" fontId="68" fillId="14" borderId="0" xfId="0" applyNumberFormat="1" applyFont="1" applyFill="1" applyAlignment="1">
      <alignment horizontal="right"/>
    </xf>
  </cellXfs>
  <cellStyles count="58">
    <cellStyle name="20% - Accent1" xfId="57" builtinId="30"/>
    <cellStyle name="20% - Accent6" xfId="56" builtinId="50"/>
    <cellStyle name="Bad" xfId="1" builtinId="27" hidden="1"/>
    <cellStyle name="Calculation" xfId="5" builtinId="22" customBuiltin="1"/>
    <cellStyle name="Check Cell" xfId="6" builtinId="23" hidden="1" customBuiltin="1"/>
    <cellStyle name="Comma" xfId="3" builtinId="3"/>
    <cellStyle name="Currency" xfId="4" builtinId="4"/>
    <cellStyle name="Currency [0]" xfId="55" builtinId="7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Good" xfId="7" builtinId="26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Input" xfId="8" builtinId="20" hidden="1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CCECFF"/>
      <color rgb="FFCCFFFF"/>
      <color rgb="FFFFCCFF"/>
      <color rgb="FFFF0000"/>
      <color rgb="FFFFFFFF"/>
      <color rgb="FFFF99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0</xdr:colOff>
      <xdr:row>6</xdr:row>
      <xdr:rowOff>116417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D2C25B7-E58C-4651-B83E-6ACA29F73A37}"/>
            </a:ext>
          </a:extLst>
        </xdr:cNvPr>
        <xdr:cNvSpPr txBox="1"/>
      </xdr:nvSpPr>
      <xdr:spPr>
        <a:xfrm>
          <a:off x="11165417" y="1756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0C008BA-F59E-4D35-BA1A-F2208B8C97D8}"/>
            </a:ext>
          </a:extLst>
        </xdr:cNvPr>
        <xdr:cNvSpPr txBox="1"/>
      </xdr:nvSpPr>
      <xdr:spPr>
        <a:xfrm>
          <a:off x="11165417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13</xdr:row>
      <xdr:rowOff>116417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4397699-38F2-4299-AA6C-23AF6DFFE07A}"/>
            </a:ext>
          </a:extLst>
        </xdr:cNvPr>
        <xdr:cNvSpPr txBox="1"/>
      </xdr:nvSpPr>
      <xdr:spPr>
        <a:xfrm>
          <a:off x="11165417" y="3090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14</xdr:row>
      <xdr:rowOff>116417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AAD9C05-7101-42F4-9B1F-83FA50668596}"/>
            </a:ext>
          </a:extLst>
        </xdr:cNvPr>
        <xdr:cNvSpPr txBox="1"/>
      </xdr:nvSpPr>
      <xdr:spPr>
        <a:xfrm>
          <a:off x="11165417" y="3280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14</xdr:row>
      <xdr:rowOff>116417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486D1AC-4093-4F0A-A11F-4D7CC7368E8D}"/>
            </a:ext>
          </a:extLst>
        </xdr:cNvPr>
        <xdr:cNvSpPr txBox="1"/>
      </xdr:nvSpPr>
      <xdr:spPr>
        <a:xfrm>
          <a:off x="11165417" y="3280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15</xdr:row>
      <xdr:rowOff>116417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8C1A294-420C-45EB-A7DF-95805970FDE0}"/>
            </a:ext>
          </a:extLst>
        </xdr:cNvPr>
        <xdr:cNvSpPr txBox="1"/>
      </xdr:nvSpPr>
      <xdr:spPr>
        <a:xfrm>
          <a:off x="11165417" y="3471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15</xdr:row>
      <xdr:rowOff>116417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DBB070D0-524C-4CF2-B6DE-1F6887DCE682}"/>
            </a:ext>
          </a:extLst>
        </xdr:cNvPr>
        <xdr:cNvSpPr txBox="1"/>
      </xdr:nvSpPr>
      <xdr:spPr>
        <a:xfrm>
          <a:off x="11165417" y="3471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1E9DC054-F67F-4E0A-850F-8D742DE2F368}"/>
            </a:ext>
          </a:extLst>
        </xdr:cNvPr>
        <xdr:cNvSpPr txBox="1"/>
      </xdr:nvSpPr>
      <xdr:spPr>
        <a:xfrm>
          <a:off x="11165417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CCABE3AA-4D01-49A0-B0BF-2176D47930EA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5A0FA90F-20C9-4CD3-AC2F-24A28216C3BB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4FE54E8F-612E-4E22-81C5-FE9911271C6C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FAE0FB1-3387-44AA-8486-C2C1D59AC6C2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23</xdr:row>
      <xdr:rowOff>116417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43D4E8A9-5E7A-40FD-8DB9-CAADF72F9E9B}"/>
            </a:ext>
          </a:extLst>
        </xdr:cNvPr>
        <xdr:cNvSpPr txBox="1"/>
      </xdr:nvSpPr>
      <xdr:spPr>
        <a:xfrm>
          <a:off x="11165417" y="4614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</xdr:row>
      <xdr:rowOff>116417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BB5E1C8D-B818-45D6-8D3D-C76F88F33A6C}"/>
            </a:ext>
          </a:extLst>
        </xdr:cNvPr>
        <xdr:cNvSpPr txBox="1"/>
      </xdr:nvSpPr>
      <xdr:spPr>
        <a:xfrm>
          <a:off x="11165417" y="4804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30</xdr:row>
      <xdr:rowOff>116417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48DDB5C2-F337-4077-B768-03144B67B7A3}"/>
            </a:ext>
          </a:extLst>
        </xdr:cNvPr>
        <xdr:cNvSpPr txBox="1"/>
      </xdr:nvSpPr>
      <xdr:spPr>
        <a:xfrm>
          <a:off x="11165417" y="5566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B5C2F55-4B80-4388-8FEB-B6DF1AC4E7E0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996C370F-25BC-4BDA-A5F0-B641934B3194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540214C4-537E-4FEE-A89D-0C21A419B0C3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C3FD7EE6-558A-4C8F-BD7F-E13DA23757FA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39033B27-197E-447A-9A13-ABBCC34F7F30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FD866E05-059A-4841-8145-748B2F2713D5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BB53D44A-24B5-4F86-8AD6-CC11370554A1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8A91D3EC-CF35-4B67-9F08-6827098D531C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7ABB3750-2718-455C-A180-B6A91A196938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9D5FD1B6-2F8B-4C1E-942A-3F6F7E16CB2A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0A77D63-59EB-4AFF-8FDE-D90EE7EAAD5A}"/>
            </a:ext>
          </a:extLst>
        </xdr:cNvPr>
        <xdr:cNvSpPr txBox="1"/>
      </xdr:nvSpPr>
      <xdr:spPr>
        <a:xfrm>
          <a:off x="11165417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F067F3A8-06E0-498D-91B8-53A84030C68F}"/>
            </a:ext>
          </a:extLst>
        </xdr:cNvPr>
        <xdr:cNvSpPr txBox="1"/>
      </xdr:nvSpPr>
      <xdr:spPr>
        <a:xfrm>
          <a:off x="11165417" y="710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32082986-CC0D-4108-84DC-79DA4139B1E8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BA5D648-DF56-45A5-9FF3-BB69F0722C26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9C12BC2E-7B5B-4375-97C7-1B26A10EC422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6</xdr:row>
      <xdr:rowOff>116417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FE59155-DEB2-46C6-86AE-197BC82FDAEA}"/>
            </a:ext>
          </a:extLst>
        </xdr:cNvPr>
        <xdr:cNvSpPr txBox="1"/>
      </xdr:nvSpPr>
      <xdr:spPr>
        <a:xfrm>
          <a:off x="11165417" y="1756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F1BD0418-069B-43B4-8CF0-3283BCBF92A5}"/>
            </a:ext>
          </a:extLst>
        </xdr:cNvPr>
        <xdr:cNvSpPr txBox="1"/>
      </xdr:nvSpPr>
      <xdr:spPr>
        <a:xfrm>
          <a:off x="11165417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13</xdr:row>
      <xdr:rowOff>116417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C42A2871-990B-4695-AC1E-D9310A35FF11}"/>
            </a:ext>
          </a:extLst>
        </xdr:cNvPr>
        <xdr:cNvSpPr txBox="1"/>
      </xdr:nvSpPr>
      <xdr:spPr>
        <a:xfrm>
          <a:off x="11165417" y="3090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14</xdr:row>
      <xdr:rowOff>116417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9A883E38-2AE0-4749-B8E0-F2A09E880D1D}"/>
            </a:ext>
          </a:extLst>
        </xdr:cNvPr>
        <xdr:cNvSpPr txBox="1"/>
      </xdr:nvSpPr>
      <xdr:spPr>
        <a:xfrm>
          <a:off x="11165417" y="3280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14</xdr:row>
      <xdr:rowOff>116417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89B2C2D6-66BF-492C-AB3F-A91EDB7BB610}"/>
            </a:ext>
          </a:extLst>
        </xdr:cNvPr>
        <xdr:cNvSpPr txBox="1"/>
      </xdr:nvSpPr>
      <xdr:spPr>
        <a:xfrm>
          <a:off x="11165417" y="3280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15</xdr:row>
      <xdr:rowOff>116417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75BF849-45B4-46A4-AE3C-7F744634C23B}"/>
            </a:ext>
          </a:extLst>
        </xdr:cNvPr>
        <xdr:cNvSpPr txBox="1"/>
      </xdr:nvSpPr>
      <xdr:spPr>
        <a:xfrm>
          <a:off x="11165417" y="3471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15</xdr:row>
      <xdr:rowOff>116417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4C6D1DF2-101F-44CB-B835-A8CA8552B838}"/>
            </a:ext>
          </a:extLst>
        </xdr:cNvPr>
        <xdr:cNvSpPr txBox="1"/>
      </xdr:nvSpPr>
      <xdr:spPr>
        <a:xfrm>
          <a:off x="11165417" y="3471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81FAFF7B-F985-4A1A-ADA1-BAF174FFCB30}"/>
            </a:ext>
          </a:extLst>
        </xdr:cNvPr>
        <xdr:cNvSpPr txBox="1"/>
      </xdr:nvSpPr>
      <xdr:spPr>
        <a:xfrm>
          <a:off x="11165417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97C56ECE-B4FF-4FA8-9AEF-039950D8713D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FF0C2FCC-8DC8-46EE-9324-A84F58D81B30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E2282A30-3836-4EE3-8EE9-55037E7736DA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DDF949A9-07BA-427E-8AB5-06BDAA00A3E2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23</xdr:row>
      <xdr:rowOff>116417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4E0BC956-CFC5-4042-A88A-1F06D6BF75BB}"/>
            </a:ext>
          </a:extLst>
        </xdr:cNvPr>
        <xdr:cNvSpPr txBox="1"/>
      </xdr:nvSpPr>
      <xdr:spPr>
        <a:xfrm>
          <a:off x="11165417" y="4614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</xdr:row>
      <xdr:rowOff>116417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94D8A519-6D30-4C09-A5FF-1E7593943577}"/>
            </a:ext>
          </a:extLst>
        </xdr:cNvPr>
        <xdr:cNvSpPr txBox="1"/>
      </xdr:nvSpPr>
      <xdr:spPr>
        <a:xfrm>
          <a:off x="11165417" y="4804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30</xdr:row>
      <xdr:rowOff>116417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3D3A0D68-25EF-45C3-AE17-B3012BDAB054}"/>
            </a:ext>
          </a:extLst>
        </xdr:cNvPr>
        <xdr:cNvSpPr txBox="1"/>
      </xdr:nvSpPr>
      <xdr:spPr>
        <a:xfrm>
          <a:off x="11165417" y="5566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94C2F419-235B-47A7-AEF3-768B9FE11162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FEA41505-B054-422E-9AE9-FE534BCCF877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6A0069B6-19A3-422D-B903-36F45F3358E3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ED735F1B-072F-4B50-BD81-011B6E58927A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D1ECB1BF-8A47-46FC-9970-4836B1DB2505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31CA5800-FF63-487A-A791-B98936392B13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6F4D4C24-FF79-4E77-A843-29F0E5760FCF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3C793105-6C79-4F86-BED4-3372728A0392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83CF6D6B-2827-4F17-A414-53C8022E220A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88A5CF4A-8CE2-4A83-9A42-77C1918FE662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5227569C-E11E-4851-84C2-39C9F4F47277}"/>
            </a:ext>
          </a:extLst>
        </xdr:cNvPr>
        <xdr:cNvSpPr txBox="1"/>
      </xdr:nvSpPr>
      <xdr:spPr>
        <a:xfrm>
          <a:off x="11165417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3E907A8E-7AA1-406F-9C52-BDC89AA8AA0B}"/>
            </a:ext>
          </a:extLst>
        </xdr:cNvPr>
        <xdr:cNvSpPr txBox="1"/>
      </xdr:nvSpPr>
      <xdr:spPr>
        <a:xfrm>
          <a:off x="11165417" y="710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951AAE2D-C8AD-4CC0-98BF-BE628F229AF8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17BE620F-E0E5-47BA-B084-D5C075384818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57F92DC6-17A7-4CE2-932B-D2D675841FEA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71D80CAD-5BF8-4FC6-8610-5148685C8276}"/>
            </a:ext>
          </a:extLst>
        </xdr:cNvPr>
        <xdr:cNvSpPr txBox="1"/>
      </xdr:nvSpPr>
      <xdr:spPr>
        <a:xfrm>
          <a:off x="11165417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14</xdr:row>
      <xdr:rowOff>116417</xdr:rowOff>
    </xdr:from>
    <xdr:ext cx="184731" cy="264560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61074A08-0DD1-4E70-9C13-9D81AAC47B30}"/>
            </a:ext>
          </a:extLst>
        </xdr:cNvPr>
        <xdr:cNvSpPr txBox="1"/>
      </xdr:nvSpPr>
      <xdr:spPr>
        <a:xfrm>
          <a:off x="11165417" y="3280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15</xdr:row>
      <xdr:rowOff>116417</xdr:rowOff>
    </xdr:from>
    <xdr:ext cx="184731" cy="264560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306639E5-B639-410B-9E6B-F0BD284BDDC6}"/>
            </a:ext>
          </a:extLst>
        </xdr:cNvPr>
        <xdr:cNvSpPr txBox="1"/>
      </xdr:nvSpPr>
      <xdr:spPr>
        <a:xfrm>
          <a:off x="11165417" y="3471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4BEF7C28-19E3-44FF-8CE3-254C72ADB8D9}"/>
            </a:ext>
          </a:extLst>
        </xdr:cNvPr>
        <xdr:cNvSpPr txBox="1"/>
      </xdr:nvSpPr>
      <xdr:spPr>
        <a:xfrm>
          <a:off x="11165417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3E7BCA2A-F4A1-41D0-94C8-F8E4150C3125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74FE1463-0392-4719-A089-933D6510B900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</xdr:row>
      <xdr:rowOff>116417</xdr:rowOff>
    </xdr:from>
    <xdr:ext cx="184731" cy="264560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AE046F90-4646-43E7-B27B-AD0C7D944053}"/>
            </a:ext>
          </a:extLst>
        </xdr:cNvPr>
        <xdr:cNvSpPr txBox="1"/>
      </xdr:nvSpPr>
      <xdr:spPr>
        <a:xfrm>
          <a:off x="11165417" y="4804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25</xdr:row>
      <xdr:rowOff>116417</xdr:rowOff>
    </xdr:from>
    <xdr:ext cx="184731" cy="264560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FBBC1B5E-6651-469E-9E61-99A74D5BEC44}"/>
            </a:ext>
          </a:extLst>
        </xdr:cNvPr>
        <xdr:cNvSpPr txBox="1"/>
      </xdr:nvSpPr>
      <xdr:spPr>
        <a:xfrm>
          <a:off x="11165417" y="4995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26DDD36B-0AA3-4CE2-848B-96C6470DBD3B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FA696231-E447-458F-8A5C-143240719743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832103C6-7488-442C-BCDD-4111AA28AB79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27297A-3FD9-462E-9F92-967E66E4FB63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F47A979D-6A2B-4D66-AEE1-EB7B2A1C3044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BC36F559-AD0F-4250-9FC3-1C0F2CD6598B}"/>
            </a:ext>
          </a:extLst>
        </xdr:cNvPr>
        <xdr:cNvSpPr txBox="1"/>
      </xdr:nvSpPr>
      <xdr:spPr>
        <a:xfrm>
          <a:off x="11165417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339FE38-CCDF-4A14-BD7C-153177A8E497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501934B0-A676-4881-ACC9-AD3E2D178F07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D9E1542D-04E8-496A-8C1D-6B2E14EA86AF}"/>
            </a:ext>
          </a:extLst>
        </xdr:cNvPr>
        <xdr:cNvSpPr txBox="1"/>
      </xdr:nvSpPr>
      <xdr:spPr>
        <a:xfrm>
          <a:off x="11165417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14</xdr:row>
      <xdr:rowOff>116417</xdr:rowOff>
    </xdr:from>
    <xdr:ext cx="184731" cy="264560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300FDCDA-81D0-4531-B155-1C93779DEA28}"/>
            </a:ext>
          </a:extLst>
        </xdr:cNvPr>
        <xdr:cNvSpPr txBox="1"/>
      </xdr:nvSpPr>
      <xdr:spPr>
        <a:xfrm>
          <a:off x="11165417" y="3280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15</xdr:row>
      <xdr:rowOff>116417</xdr:rowOff>
    </xdr:from>
    <xdr:ext cx="184731" cy="264560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7D43407C-680E-4039-876A-2F85DD095029}"/>
            </a:ext>
          </a:extLst>
        </xdr:cNvPr>
        <xdr:cNvSpPr txBox="1"/>
      </xdr:nvSpPr>
      <xdr:spPr>
        <a:xfrm>
          <a:off x="11165417" y="3471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1B10E30F-49F3-4DCC-AA09-5D92A0E3854A}"/>
            </a:ext>
          </a:extLst>
        </xdr:cNvPr>
        <xdr:cNvSpPr txBox="1"/>
      </xdr:nvSpPr>
      <xdr:spPr>
        <a:xfrm>
          <a:off x="11165417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DFDBDCD8-4D5B-4B5F-A7F5-7544B01B203C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171A59F7-5375-40F2-AB6A-FC7FBAFF4897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F2AE3171-C6F4-482D-821D-E20F275FAF15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D0ECA865-4907-4AA2-9EA1-3263192580AB}"/>
            </a:ext>
          </a:extLst>
        </xdr:cNvPr>
        <xdr:cNvSpPr txBox="1"/>
      </xdr:nvSpPr>
      <xdr:spPr>
        <a:xfrm>
          <a:off x="11165417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14</xdr:row>
      <xdr:rowOff>116417</xdr:rowOff>
    </xdr:from>
    <xdr:ext cx="184731" cy="264560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4770C434-0C90-4434-948C-F471F06CA738}"/>
            </a:ext>
          </a:extLst>
        </xdr:cNvPr>
        <xdr:cNvSpPr txBox="1"/>
      </xdr:nvSpPr>
      <xdr:spPr>
        <a:xfrm>
          <a:off x="11165417" y="3280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15</xdr:row>
      <xdr:rowOff>116417</xdr:rowOff>
    </xdr:from>
    <xdr:ext cx="184731" cy="264560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73F88D3D-91D6-4C1F-A064-B5D9BB5FFCCE}"/>
            </a:ext>
          </a:extLst>
        </xdr:cNvPr>
        <xdr:cNvSpPr txBox="1"/>
      </xdr:nvSpPr>
      <xdr:spPr>
        <a:xfrm>
          <a:off x="11165417" y="3471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979060C5-0F83-4617-934A-59301DCD02CF}"/>
            </a:ext>
          </a:extLst>
        </xdr:cNvPr>
        <xdr:cNvSpPr txBox="1"/>
      </xdr:nvSpPr>
      <xdr:spPr>
        <a:xfrm>
          <a:off x="11165417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01EDB3D9-BE9E-45AD-BCC8-D574CADE0F48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A84D94CB-8F82-49AC-A8BE-1B2CAC4D0951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AF47F2CE-1667-411A-9123-F09267ACBF4A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</xdr:row>
      <xdr:rowOff>116417</xdr:rowOff>
    </xdr:from>
    <xdr:ext cx="184731" cy="264560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67FA51E3-02DB-4F1D-ABDD-2522111707EB}"/>
            </a:ext>
          </a:extLst>
        </xdr:cNvPr>
        <xdr:cNvSpPr txBox="1"/>
      </xdr:nvSpPr>
      <xdr:spPr>
        <a:xfrm>
          <a:off x="11165417" y="4804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25</xdr:row>
      <xdr:rowOff>116417</xdr:rowOff>
    </xdr:from>
    <xdr:ext cx="184731" cy="264560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9CA711D0-B368-46CB-B9CA-1729B3651D71}"/>
            </a:ext>
          </a:extLst>
        </xdr:cNvPr>
        <xdr:cNvSpPr txBox="1"/>
      </xdr:nvSpPr>
      <xdr:spPr>
        <a:xfrm>
          <a:off x="11165417" y="4995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8C0C8C5E-9F12-4F37-B303-FBAA5A69A57F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EE1120FA-B9BB-464B-BAF8-68314EE32F51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7B43695C-1186-42EA-A566-3248FE00C894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49D39B65-DE16-4F86-B6B1-1A8DEDF8D46A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26C83C77-CF23-4DFB-8485-7160C7973B9E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11E577CF-C3C8-4903-90AD-81487A09727C}"/>
            </a:ext>
          </a:extLst>
        </xdr:cNvPr>
        <xdr:cNvSpPr txBox="1"/>
      </xdr:nvSpPr>
      <xdr:spPr>
        <a:xfrm>
          <a:off x="11165417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8485C42A-263D-4D51-A0CD-27EA59C71685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3FD535AF-179F-40E7-AA79-2F6A00074710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6</xdr:row>
      <xdr:rowOff>116417</xdr:rowOff>
    </xdr:from>
    <xdr:ext cx="184731" cy="264560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C2A38D65-A53F-4280-A72A-59A219D68194}"/>
            </a:ext>
          </a:extLst>
        </xdr:cNvPr>
        <xdr:cNvSpPr txBox="1"/>
      </xdr:nvSpPr>
      <xdr:spPr>
        <a:xfrm>
          <a:off x="11165417" y="1756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B6A72F79-4D8F-42D8-A749-1669F0A9CD92}"/>
            </a:ext>
          </a:extLst>
        </xdr:cNvPr>
        <xdr:cNvSpPr txBox="1"/>
      </xdr:nvSpPr>
      <xdr:spPr>
        <a:xfrm>
          <a:off x="11165417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8</xdr:row>
      <xdr:rowOff>116417</xdr:rowOff>
    </xdr:from>
    <xdr:ext cx="184731" cy="264560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ECC199DB-5E91-45B7-8F93-2B039BF983DD}"/>
            </a:ext>
          </a:extLst>
        </xdr:cNvPr>
        <xdr:cNvSpPr txBox="1"/>
      </xdr:nvSpPr>
      <xdr:spPr>
        <a:xfrm>
          <a:off x="11165417" y="213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8</xdr:row>
      <xdr:rowOff>116417</xdr:rowOff>
    </xdr:from>
    <xdr:ext cx="184731" cy="264560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F22D74AA-D9B5-44F0-8D09-F70333C3DB02}"/>
            </a:ext>
          </a:extLst>
        </xdr:cNvPr>
        <xdr:cNvSpPr txBox="1"/>
      </xdr:nvSpPr>
      <xdr:spPr>
        <a:xfrm>
          <a:off x="11165417" y="213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8</xdr:row>
      <xdr:rowOff>116417</xdr:rowOff>
    </xdr:from>
    <xdr:ext cx="184731" cy="264560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84BAAE82-7C09-462E-83FF-2DAFB393215D}"/>
            </a:ext>
          </a:extLst>
        </xdr:cNvPr>
        <xdr:cNvSpPr txBox="1"/>
      </xdr:nvSpPr>
      <xdr:spPr>
        <a:xfrm>
          <a:off x="11165417" y="213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8</xdr:row>
      <xdr:rowOff>116417</xdr:rowOff>
    </xdr:from>
    <xdr:ext cx="184731" cy="264560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E0E095EF-5EE0-45D5-A511-FD039D5CCEAC}"/>
            </a:ext>
          </a:extLst>
        </xdr:cNvPr>
        <xdr:cNvSpPr txBox="1"/>
      </xdr:nvSpPr>
      <xdr:spPr>
        <a:xfrm>
          <a:off x="11165417" y="213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8</xdr:row>
      <xdr:rowOff>116417</xdr:rowOff>
    </xdr:from>
    <xdr:ext cx="184731" cy="264560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CA9FDA60-2CB8-4926-83E9-77A6B8039716}"/>
            </a:ext>
          </a:extLst>
        </xdr:cNvPr>
        <xdr:cNvSpPr txBox="1"/>
      </xdr:nvSpPr>
      <xdr:spPr>
        <a:xfrm>
          <a:off x="11165417" y="213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8</xdr:row>
      <xdr:rowOff>116417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27C5E817-E43A-4FE1-AB73-B8CAEF4A56FC}"/>
            </a:ext>
          </a:extLst>
        </xdr:cNvPr>
        <xdr:cNvSpPr txBox="1"/>
      </xdr:nvSpPr>
      <xdr:spPr>
        <a:xfrm>
          <a:off x="11165417" y="213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14</xdr:row>
      <xdr:rowOff>116417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47D7BDAE-D354-487E-98BB-5B3A04647817}"/>
            </a:ext>
          </a:extLst>
        </xdr:cNvPr>
        <xdr:cNvSpPr txBox="1"/>
      </xdr:nvSpPr>
      <xdr:spPr>
        <a:xfrm>
          <a:off x="11165417" y="3280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15</xdr:row>
      <xdr:rowOff>116417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B6D0E2FB-22B0-460D-AB94-DC71EAEBEA18}"/>
            </a:ext>
          </a:extLst>
        </xdr:cNvPr>
        <xdr:cNvSpPr txBox="1"/>
      </xdr:nvSpPr>
      <xdr:spPr>
        <a:xfrm>
          <a:off x="11165417" y="3471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4E7BEB5C-A00E-48D8-B941-CF377B48AECE}"/>
            </a:ext>
          </a:extLst>
        </xdr:cNvPr>
        <xdr:cNvSpPr txBox="1"/>
      </xdr:nvSpPr>
      <xdr:spPr>
        <a:xfrm>
          <a:off x="11165417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80B2A9CF-8A89-4C0B-8FE5-0562B8FE02CD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4869208C-27DB-487B-8711-0C5763C50300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0FBDF254-9BE0-43F3-BA6B-B1CB6FA40B71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19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75A7631E-E627-4851-9310-BB070BB6F544}"/>
            </a:ext>
          </a:extLst>
        </xdr:cNvPr>
        <xdr:cNvSpPr txBox="1"/>
      </xdr:nvSpPr>
      <xdr:spPr>
        <a:xfrm>
          <a:off x="11165417" y="4116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6FB9B9EF-FAA4-42E1-A8A0-89DBB26220C3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45B0089B-9C57-4FA9-8D6B-3F7728A4A0EE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6C37210-3A0C-497E-B202-6807F24339BF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23</xdr:row>
      <xdr:rowOff>116417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DC1B6351-3196-4864-841B-4AE1A1F887FF}"/>
            </a:ext>
          </a:extLst>
        </xdr:cNvPr>
        <xdr:cNvSpPr txBox="1"/>
      </xdr:nvSpPr>
      <xdr:spPr>
        <a:xfrm>
          <a:off x="11165417" y="4614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</xdr:row>
      <xdr:rowOff>116417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08DD66B-E89D-4596-92F0-550FFCD0C6B4}"/>
            </a:ext>
          </a:extLst>
        </xdr:cNvPr>
        <xdr:cNvSpPr txBox="1"/>
      </xdr:nvSpPr>
      <xdr:spPr>
        <a:xfrm>
          <a:off x="11165417" y="4804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</xdr:row>
      <xdr:rowOff>116417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8473E801-3DA5-422C-825D-0C5763451A3C}"/>
            </a:ext>
          </a:extLst>
        </xdr:cNvPr>
        <xdr:cNvSpPr txBox="1"/>
      </xdr:nvSpPr>
      <xdr:spPr>
        <a:xfrm>
          <a:off x="11165417" y="4804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</xdr:row>
      <xdr:rowOff>116417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921285E8-8905-4433-8C5E-0EAB4685B7DA}"/>
            </a:ext>
          </a:extLst>
        </xdr:cNvPr>
        <xdr:cNvSpPr txBox="1"/>
      </xdr:nvSpPr>
      <xdr:spPr>
        <a:xfrm>
          <a:off x="11165417" y="4804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25</xdr:row>
      <xdr:rowOff>116417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957EC2E1-82DF-46E0-9087-65E45B8150C2}"/>
            </a:ext>
          </a:extLst>
        </xdr:cNvPr>
        <xdr:cNvSpPr txBox="1"/>
      </xdr:nvSpPr>
      <xdr:spPr>
        <a:xfrm>
          <a:off x="11165417" y="4995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25</xdr:row>
      <xdr:rowOff>116417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75611F55-4E83-4E8C-A0F2-32E19C288712}"/>
            </a:ext>
          </a:extLst>
        </xdr:cNvPr>
        <xdr:cNvSpPr txBox="1"/>
      </xdr:nvSpPr>
      <xdr:spPr>
        <a:xfrm>
          <a:off x="11165417" y="4995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30</xdr:row>
      <xdr:rowOff>116417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D786A4F3-7E00-4FC0-8A18-836FCE1E0893}"/>
            </a:ext>
          </a:extLst>
        </xdr:cNvPr>
        <xdr:cNvSpPr txBox="1"/>
      </xdr:nvSpPr>
      <xdr:spPr>
        <a:xfrm>
          <a:off x="11165417" y="5566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30</xdr:row>
      <xdr:rowOff>116417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27214B93-E621-4D35-A58E-7558B7CE707D}"/>
            </a:ext>
          </a:extLst>
        </xdr:cNvPr>
        <xdr:cNvSpPr txBox="1"/>
      </xdr:nvSpPr>
      <xdr:spPr>
        <a:xfrm>
          <a:off x="11165417" y="5566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30</xdr:row>
      <xdr:rowOff>116417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FC9893AB-CA39-4927-B972-DE49B1F6FED6}"/>
            </a:ext>
          </a:extLst>
        </xdr:cNvPr>
        <xdr:cNvSpPr txBox="1"/>
      </xdr:nvSpPr>
      <xdr:spPr>
        <a:xfrm>
          <a:off x="11165417" y="5566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79DDA13C-C917-441D-89EF-C51F9315D342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FC9D2750-8A46-4AD5-AD95-11DB44F5D7B4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9F2B3B01-F523-4FFD-BCBB-CC4453F38CB5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5EEDC62-C600-4B30-AD45-6256DA23AA9B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31</xdr:row>
      <xdr:rowOff>116417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D64AB931-FA7D-46C5-B0A0-4BED784D30BB}"/>
            </a:ext>
          </a:extLst>
        </xdr:cNvPr>
        <xdr:cNvSpPr txBox="1"/>
      </xdr:nvSpPr>
      <xdr:spPr>
        <a:xfrm>
          <a:off x="11165417" y="5757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5742F085-FADF-4F7D-B617-77F11662814B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3E883738-A3AF-49AB-814E-65DE9F5ADEAC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F148E6A3-DB05-49BE-A5C3-6A4D170C343D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5DF765B7-DF38-4142-A5C2-E47C75568821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38957A4-CD5C-4C6F-A305-243FB1BAFD0D}"/>
            </a:ext>
          </a:extLst>
        </xdr:cNvPr>
        <xdr:cNvSpPr txBox="1"/>
      </xdr:nvSpPr>
      <xdr:spPr>
        <a:xfrm>
          <a:off x="11165417" y="583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6915CAA5-3C53-44B2-B047-B0481A68A4A1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5E1487D5-4297-47D4-9DFF-B4566A5E6422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F1636BD-E8CF-4CBD-8EEB-1FC9617F37FD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1C0CEC42-D713-48A3-9DC6-34D7B9116633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7AABBA7E-A70B-4E2B-A420-5E009A0A4AE9}"/>
            </a:ext>
          </a:extLst>
        </xdr:cNvPr>
        <xdr:cNvSpPr txBox="1"/>
      </xdr:nvSpPr>
      <xdr:spPr>
        <a:xfrm>
          <a:off x="11165417" y="5947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2A7A3B40-418E-42D7-9178-D796F0294BF8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1D69DE87-3E0B-4D95-841F-0B1EC09D74AE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B0B5C2C8-AA26-4551-9521-648653424DD5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5DCF1FF2-3111-49CC-AAFF-43813B0D7E85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59185E89-C2FA-43A1-A273-9A253B4679E6}"/>
            </a:ext>
          </a:extLst>
        </xdr:cNvPr>
        <xdr:cNvSpPr txBox="1"/>
      </xdr:nvSpPr>
      <xdr:spPr>
        <a:xfrm>
          <a:off x="11165417" y="613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741055B2-6EC0-43D2-9A4D-83A05FD54FD5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EC40EBE7-46E6-4993-B037-30B4357E7BB6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2D110B9-11D0-4591-AE75-245DEB788955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4A7BCFC7-10AF-4696-BDBC-04D434E964CA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15314B2C-A290-4883-B1C5-A951538E0E77}"/>
            </a:ext>
          </a:extLst>
        </xdr:cNvPr>
        <xdr:cNvSpPr txBox="1"/>
      </xdr:nvSpPr>
      <xdr:spPr>
        <a:xfrm>
          <a:off x="11165417" y="6328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4EA3C9B5-CA58-4C95-85BB-1104EE93FDE6}"/>
            </a:ext>
          </a:extLst>
        </xdr:cNvPr>
        <xdr:cNvSpPr txBox="1"/>
      </xdr:nvSpPr>
      <xdr:spPr>
        <a:xfrm>
          <a:off x="11165417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4D6A2A9B-6B9C-45A5-801A-914B35CA77D0}"/>
            </a:ext>
          </a:extLst>
        </xdr:cNvPr>
        <xdr:cNvSpPr txBox="1"/>
      </xdr:nvSpPr>
      <xdr:spPr>
        <a:xfrm>
          <a:off x="11165417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BDFBCA97-92F5-4F63-9B97-7DE36F24B8EB}"/>
            </a:ext>
          </a:extLst>
        </xdr:cNvPr>
        <xdr:cNvSpPr txBox="1"/>
      </xdr:nvSpPr>
      <xdr:spPr>
        <a:xfrm>
          <a:off x="11165417" y="710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68923202-878F-4980-B008-A162DF926586}"/>
            </a:ext>
          </a:extLst>
        </xdr:cNvPr>
        <xdr:cNvSpPr txBox="1"/>
      </xdr:nvSpPr>
      <xdr:spPr>
        <a:xfrm>
          <a:off x="11165417" y="710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BEB5F10E-38C8-48D6-891F-561E657896F1}"/>
            </a:ext>
          </a:extLst>
        </xdr:cNvPr>
        <xdr:cNvSpPr txBox="1"/>
      </xdr:nvSpPr>
      <xdr:spPr>
        <a:xfrm>
          <a:off x="11165417" y="710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9558FAA6-4AC0-433C-9BE3-C85FC20127DB}"/>
            </a:ext>
          </a:extLst>
        </xdr:cNvPr>
        <xdr:cNvSpPr txBox="1"/>
      </xdr:nvSpPr>
      <xdr:spPr>
        <a:xfrm>
          <a:off x="11165417" y="710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CE515865-D422-439B-8FDD-998A31D5DD73}"/>
            </a:ext>
          </a:extLst>
        </xdr:cNvPr>
        <xdr:cNvSpPr txBox="1"/>
      </xdr:nvSpPr>
      <xdr:spPr>
        <a:xfrm>
          <a:off x="11165417" y="7101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DE921BE7-ADB8-48D5-ADA8-40C9EF5256E2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E8BE1B23-EEDD-47C2-BAF9-DB9A101F9C1C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145344D1-D88D-4426-BCD3-076AED8BF637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221CEAF-B2AF-466E-BF3E-C758DA53368A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D6957A86-F201-4DD8-A9B1-C36D18E244E3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F14F4CA1-E5EA-4239-AD01-E2B582238485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122D0EA3-9EBE-44BB-86A0-8E874EDB70CA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F9E980BB-4E49-48E8-92DA-ED92B85695ED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4F4C6EA9-7C92-4D1D-BAA3-5E5E47CF6395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E4379639-B777-44A8-88F9-DC11E1ECDBE6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2E57038A-5974-49A5-8D61-8E3755FAADB8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CF4C4A2B-B579-4B8C-ADAB-3E15075768F8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2E2B3F19-62FE-41E2-9E37-65B28300F304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2C45C94E-C03E-46D8-9EE6-8AD7D8EA8EA2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27B707B9-0542-454A-840A-2C60CEF00144}"/>
            </a:ext>
          </a:extLst>
        </xdr:cNvPr>
        <xdr:cNvSpPr txBox="1"/>
      </xdr:nvSpPr>
      <xdr:spPr>
        <a:xfrm>
          <a:off x="11165417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4FBE6639-B04D-48A7-A483-A6F6695303D1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E64401FD-7B6B-4899-B2F9-E03F8C6D89D0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7E4F300D-53E8-4400-8E4E-49FF467A408B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49ED6239-649B-453F-8759-60419295DC88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B54DB952-656F-4E31-BF5B-BB3C83E40568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6E1C30A0-A884-4FA4-BFFA-3F10CDB5414C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4CB7E047-3AB6-4B25-B247-10153AF01B21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BB023407-92F9-443B-AB02-AAA2208A6C34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8F8C1BF4-0ABD-4B0D-9A46-2C1A31003B16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8323D6AD-9294-43D5-89C3-C77EA09620A6}"/>
            </a:ext>
          </a:extLst>
        </xdr:cNvPr>
        <xdr:cNvSpPr txBox="1"/>
      </xdr:nvSpPr>
      <xdr:spPr>
        <a:xfrm>
          <a:off x="10519833" y="49709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C002CAAD-DFEA-4E23-A95C-9145487DC8EC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C1E3088D-B364-4BA8-931B-7681607BCE9B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B8B9AEC2-989C-40B0-B264-2ABF6E417F8B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B085BAA6-4679-4F37-8A2E-661AA99E90E6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4828A56C-E41D-4F25-A7A9-B29CA08647BA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B9523B0-4A12-4970-AAA7-6BAB4F6C522E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3F9E45C6-E138-4A75-8BF7-51163CBE1599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241DD44B-9EC0-4D3B-B284-BF8D18505B8D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246A2E65-EAC3-4CDB-A2AD-935262E980E8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7C4E552-9022-49D7-8013-0970F0CC57FD}"/>
            </a:ext>
          </a:extLst>
        </xdr:cNvPr>
        <xdr:cNvSpPr txBox="1"/>
      </xdr:nvSpPr>
      <xdr:spPr>
        <a:xfrm>
          <a:off x="11165417" y="7291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B26DAB20-E4D3-43D5-ADB9-8BE732270553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40FD3832-3174-4534-8EC9-DD7BC8A8CBD3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1C22CBCA-0733-4363-8AF4-B0968BB235E5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8E2FE1F5-9B7E-4107-B571-AF7B43240BD7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462A53E8-757D-4DDF-90F1-000D75B2A300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FD078519-2B36-476B-A7AF-6E27EFE08E15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B3723ACA-90EC-4AB8-9870-57216A024AC5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D49EB13D-F323-4505-8532-50A46D025969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EAE69853-29B6-4D35-B083-00D10BDBE7BF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E6A3AAC4-3E2F-4419-8CDC-832C5DCF8736}"/>
            </a:ext>
          </a:extLst>
        </xdr:cNvPr>
        <xdr:cNvSpPr txBox="1"/>
      </xdr:nvSpPr>
      <xdr:spPr>
        <a:xfrm>
          <a:off x="11165417" y="7482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A0BD8B6D-D639-4634-8CB6-882B48908C24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F840D6DF-F0FE-4603-A2FA-AAB1CDFDE0C5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22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3EC56DD1-32C4-4788-93F6-A1328D39EFE4}"/>
            </a:ext>
          </a:extLst>
        </xdr:cNvPr>
        <xdr:cNvSpPr txBox="1"/>
      </xdr:nvSpPr>
      <xdr:spPr>
        <a:xfrm>
          <a:off x="11165417" y="43074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0B375535-1419-44BD-AFE8-809AA9A6756D}"/>
            </a:ext>
          </a:extLst>
        </xdr:cNvPr>
        <xdr:cNvSpPr txBox="1"/>
      </xdr:nvSpPr>
      <xdr:spPr>
        <a:xfrm>
          <a:off x="10519833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A88892CB-31A4-4B1C-A7B1-37DBD7052696}"/>
            </a:ext>
          </a:extLst>
        </xdr:cNvPr>
        <xdr:cNvSpPr txBox="1"/>
      </xdr:nvSpPr>
      <xdr:spPr>
        <a:xfrm>
          <a:off x="10519833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9938DD39-17FA-48E1-A98D-4B1605B18536}"/>
            </a:ext>
          </a:extLst>
        </xdr:cNvPr>
        <xdr:cNvSpPr txBox="1"/>
      </xdr:nvSpPr>
      <xdr:spPr>
        <a:xfrm>
          <a:off x="10519833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CA8132-DE90-401D-9AE4-563AD8BEA2BB}"/>
            </a:ext>
          </a:extLst>
        </xdr:cNvPr>
        <xdr:cNvSpPr txBox="1"/>
      </xdr:nvSpPr>
      <xdr:spPr>
        <a:xfrm>
          <a:off x="10519833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E15463CD-47EC-4FCB-8CC5-322FEC96F0CD}"/>
            </a:ext>
          </a:extLst>
        </xdr:cNvPr>
        <xdr:cNvSpPr txBox="1"/>
      </xdr:nvSpPr>
      <xdr:spPr>
        <a:xfrm>
          <a:off x="10519833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9</xdr:row>
      <xdr:rowOff>116417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6EBAFBB0-F526-476E-AA45-8B8A405BF4C1}"/>
            </a:ext>
          </a:extLst>
        </xdr:cNvPr>
        <xdr:cNvSpPr txBox="1"/>
      </xdr:nvSpPr>
      <xdr:spPr>
        <a:xfrm>
          <a:off x="10519833" y="2328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BFEDD51C-D6EC-4C0A-A9D3-58CEE6791302}"/>
            </a:ext>
          </a:extLst>
        </xdr:cNvPr>
        <xdr:cNvSpPr txBox="1"/>
      </xdr:nvSpPr>
      <xdr:spPr>
        <a:xfrm>
          <a:off x="10519833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DAF5AAEB-58AE-4C34-84BD-BAF4C50DA94F}"/>
            </a:ext>
          </a:extLst>
        </xdr:cNvPr>
        <xdr:cNvSpPr txBox="1"/>
      </xdr:nvSpPr>
      <xdr:spPr>
        <a:xfrm>
          <a:off x="10519833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AECA4DD1-1047-460D-8C2D-5C7A40F7C503}"/>
            </a:ext>
          </a:extLst>
        </xdr:cNvPr>
        <xdr:cNvSpPr txBox="1"/>
      </xdr:nvSpPr>
      <xdr:spPr>
        <a:xfrm>
          <a:off x="10519833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2C6865C7-659E-4578-A590-AA713BBD8A08}"/>
            </a:ext>
          </a:extLst>
        </xdr:cNvPr>
        <xdr:cNvSpPr txBox="1"/>
      </xdr:nvSpPr>
      <xdr:spPr>
        <a:xfrm>
          <a:off x="10519833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8B1A76B9-74FC-412E-9D12-EC59E1D44AA2}"/>
            </a:ext>
          </a:extLst>
        </xdr:cNvPr>
        <xdr:cNvSpPr txBox="1"/>
      </xdr:nvSpPr>
      <xdr:spPr>
        <a:xfrm>
          <a:off x="10519833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16</xdr:row>
      <xdr:rowOff>116417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DBBB1A5A-E610-4FF3-94B1-9040641C1D70}"/>
            </a:ext>
          </a:extLst>
        </xdr:cNvPr>
        <xdr:cNvSpPr txBox="1"/>
      </xdr:nvSpPr>
      <xdr:spPr>
        <a:xfrm>
          <a:off x="10519833" y="36618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25</xdr:row>
      <xdr:rowOff>116417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1DD9A70-754A-44AD-A432-AAF1E8D4BCAC}"/>
            </a:ext>
          </a:extLst>
        </xdr:cNvPr>
        <xdr:cNvSpPr txBox="1"/>
      </xdr:nvSpPr>
      <xdr:spPr>
        <a:xfrm>
          <a:off x="10519833" y="4995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25</xdr:row>
      <xdr:rowOff>116417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FAE7C10A-11E7-4B53-9190-7E1A9209B07C}"/>
            </a:ext>
          </a:extLst>
        </xdr:cNvPr>
        <xdr:cNvSpPr txBox="1"/>
      </xdr:nvSpPr>
      <xdr:spPr>
        <a:xfrm>
          <a:off x="10519833" y="4995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25</xdr:row>
      <xdr:rowOff>116417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8F72BE80-2160-423B-954D-F0F65F82EA05}"/>
            </a:ext>
          </a:extLst>
        </xdr:cNvPr>
        <xdr:cNvSpPr txBox="1"/>
      </xdr:nvSpPr>
      <xdr:spPr>
        <a:xfrm>
          <a:off x="10519833" y="4995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25</xdr:row>
      <xdr:rowOff>116417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7DA0500C-0DA5-4FF6-BA9E-78E89C1A36AD}"/>
            </a:ext>
          </a:extLst>
        </xdr:cNvPr>
        <xdr:cNvSpPr txBox="1"/>
      </xdr:nvSpPr>
      <xdr:spPr>
        <a:xfrm>
          <a:off x="10519833" y="4995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9CC0C1FC-CD9F-4C6B-BB39-DEC78022522B}"/>
            </a:ext>
          </a:extLst>
        </xdr:cNvPr>
        <xdr:cNvSpPr txBox="1"/>
      </xdr:nvSpPr>
      <xdr:spPr>
        <a:xfrm>
          <a:off x="10519833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6D527CD4-DD54-4309-B549-F4B631E1F618}"/>
            </a:ext>
          </a:extLst>
        </xdr:cNvPr>
        <xdr:cNvSpPr txBox="1"/>
      </xdr:nvSpPr>
      <xdr:spPr>
        <a:xfrm>
          <a:off x="10519833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0916C9E4-1998-4492-9E1A-5A7A30501232}"/>
            </a:ext>
          </a:extLst>
        </xdr:cNvPr>
        <xdr:cNvSpPr txBox="1"/>
      </xdr:nvSpPr>
      <xdr:spPr>
        <a:xfrm>
          <a:off x="10519833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F8CB2607-2414-4E87-B051-FA445A85AEFC}"/>
            </a:ext>
          </a:extLst>
        </xdr:cNvPr>
        <xdr:cNvSpPr txBox="1"/>
      </xdr:nvSpPr>
      <xdr:spPr>
        <a:xfrm>
          <a:off x="10519833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ED38E99A-B22E-4521-8E03-DE2246102EE6}"/>
            </a:ext>
          </a:extLst>
        </xdr:cNvPr>
        <xdr:cNvSpPr txBox="1"/>
      </xdr:nvSpPr>
      <xdr:spPr>
        <a:xfrm>
          <a:off x="10519833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35</xdr:row>
      <xdr:rowOff>116417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AF0B2EA2-934D-4895-B449-D5D7883E7F84}"/>
            </a:ext>
          </a:extLst>
        </xdr:cNvPr>
        <xdr:cNvSpPr txBox="1"/>
      </xdr:nvSpPr>
      <xdr:spPr>
        <a:xfrm>
          <a:off x="10519833" y="651933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56C18C79-5E4F-4F5D-8426-4088239EF7B3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259CF25D-DDF5-40F2-BB01-64086E62E2A8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88218015-600D-4834-85A7-DBE8641FF4CF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83F3F7EC-BA63-44DC-92EB-7F6F1EAF7C6D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8DFDEB91-80F4-4283-B9EE-0DFB1A097DF9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803BABD5-7402-4E79-B07F-7DEC4708EF4C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BF87B296-AB4D-4C3A-B339-FF25CFE5CF2F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B2147EA-BF0B-4A32-99FA-FB7F6D14BF8B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37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879FA018-4E4D-48E4-A5AA-233F722BF61B}"/>
            </a:ext>
          </a:extLst>
        </xdr:cNvPr>
        <xdr:cNvSpPr txBox="1"/>
      </xdr:nvSpPr>
      <xdr:spPr>
        <a:xfrm>
          <a:off x="10519833" y="7672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87A2D51-C102-4021-81EE-A3FF553B4442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001E9E54-A447-44B8-B112-874E93CB50C5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021E765B-64F2-42BF-AB34-8FB43D37A90D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35283A61-75DC-416A-BAE5-A19CB83BB96B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98CE3243-DA89-46A3-82D0-78BB9EDE50FC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54D1CE78-97E9-435E-8F04-58D10C5B435B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8FB2307D-324C-49C5-B632-AAE976927EAE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60C4A9FB-8BB3-4DB5-9976-78F62072AD01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BD7AA322-879F-4FB5-8290-32F1B9EFDB01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246</xdr:row>
      <xdr:rowOff>116417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FDD15A87-B766-4DAE-AFB0-509F77155545}"/>
            </a:ext>
          </a:extLst>
        </xdr:cNvPr>
        <xdr:cNvSpPr txBox="1"/>
      </xdr:nvSpPr>
      <xdr:spPr>
        <a:xfrm>
          <a:off x="10519833" y="49720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52CCE592-A99E-4E6C-AC5C-17BBA268EFCC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1AF509B3-8F57-450C-A5C7-51863014686B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8396B261-DA4A-453E-B2F8-76CCF5556B55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99B4AEB5-798B-4753-B459-DBE9B01459EC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247</xdr:row>
      <xdr:rowOff>116417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FD1F11E6-D9A1-4636-B85F-9EAEE2C3C5A4}"/>
            </a:ext>
          </a:extLst>
        </xdr:cNvPr>
        <xdr:cNvSpPr txBox="1"/>
      </xdr:nvSpPr>
      <xdr:spPr>
        <a:xfrm>
          <a:off x="10519833" y="49911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2293C819-9056-4CA5-8912-431C81439617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6855E0CB-60F6-4952-8AFD-E502DFEAEC5C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DF6241C7-B25A-42D0-8A1D-F7C0032B62A0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16F78BA6-6A2F-4BD3-BFE9-FAB19EF5C0FE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827F367C-DD30-4CEF-9FB7-11A3B8F4F3FE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A579F53F-0F04-43A4-B11D-C24129062937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A923B684-571D-48DC-AD9B-D0A79CD1F23E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397401EA-F38F-411C-BB4A-564D626F72BE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BA08D62F-A66A-4A2A-92EF-41A087E93A6A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246</xdr:row>
      <xdr:rowOff>116417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690543-DEAE-45C7-B417-724D1DE6716C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247</xdr:row>
      <xdr:rowOff>116417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1DA3806C-77B8-454F-A9D9-020D3446204B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247</xdr:row>
      <xdr:rowOff>116417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12248372-67BF-469E-8AF7-0CD42B581E1C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247</xdr:row>
      <xdr:rowOff>116417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7664150D-2D80-4750-ADDB-6C08C02DB7B3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247</xdr:row>
      <xdr:rowOff>116417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C13C0B5B-4574-46E8-B059-891A05ED0B9C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9</xdr:col>
      <xdr:colOff>0</xdr:colOff>
      <xdr:row>247</xdr:row>
      <xdr:rowOff>116417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50BAF72A-4F84-4729-9E5A-C86E29807761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FD5B6611-9C2E-4697-A0FC-DB55568A9C19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962697DD-1100-41C0-92D2-85D4BC4C8EEA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8E9FAFDA-A5FC-462C-B3AF-FF3A63C1E89A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812ACA2-5DDD-44E4-BF07-ACDA7FACD4EE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42394878-4ADE-407B-99F0-D71B5D8941A4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13AC180F-CFA2-4B22-B46D-35E409106F42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7EB4689C-02D9-4750-A1DE-090974D0BD6E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F4E71A3F-7C4D-49FB-AC4D-F62241533C68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D00603D-EEF8-497B-A828-F1CF87AC1EA4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89FD5AB9-C491-4B70-A106-670BCFAAB45A}"/>
            </a:ext>
          </a:extLst>
        </xdr:cNvPr>
        <xdr:cNvSpPr txBox="1"/>
      </xdr:nvSpPr>
      <xdr:spPr>
        <a:xfrm>
          <a:off x="13420725" y="576378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366268C7-8D2F-4A83-8DDA-6AAC46BDB623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653B64DB-6F6D-494B-9628-AD9AA6F51DA4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C010CA4F-8217-477D-9AF3-CAB13156816D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C2FF1B3-B614-435E-BC52-2E17398B983C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41BD67B2-86D8-483B-B25E-3475093A4197}"/>
            </a:ext>
          </a:extLst>
        </xdr:cNvPr>
        <xdr:cNvSpPr txBox="1"/>
      </xdr:nvSpPr>
      <xdr:spPr>
        <a:xfrm>
          <a:off x="13420725" y="57837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D1C89A13-87C5-4D05-94F4-AA355A78F6C4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A0F68148-AE79-43E5-9210-83C269683435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1204D273-C451-47E3-AAF4-10EC8E984576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7E437CFF-F543-46DA-91C5-7A17C8C79E63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710E3F84-6B64-49EA-B7D3-EEC5B9DDC68B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BC18F39-B6E2-4EC6-846F-E17EFB13628B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D6F5A3EB-A214-4EC3-BE38-09BDAACCDBB0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4786F703-8023-479D-A79A-3C47EB73EF6D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5CDD194C-FDCA-421A-A17C-D3DF5F4C4506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88A2C92E-962B-44D2-96D7-11CC40894097}"/>
            </a:ext>
          </a:extLst>
        </xdr:cNvPr>
        <xdr:cNvSpPr txBox="1"/>
      </xdr:nvSpPr>
      <xdr:spPr>
        <a:xfrm>
          <a:off x="10677525" y="584379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19CA7520-382A-49D4-B463-88CD95902412}"/>
            </a:ext>
          </a:extLst>
        </xdr:cNvPr>
        <xdr:cNvSpPr txBox="1"/>
      </xdr:nvSpPr>
      <xdr:spPr>
        <a:xfrm>
          <a:off x="10677525" y="58638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B4534EC4-3B02-4954-AE98-38EB1BCEA6B8}"/>
            </a:ext>
          </a:extLst>
        </xdr:cNvPr>
        <xdr:cNvSpPr txBox="1"/>
      </xdr:nvSpPr>
      <xdr:spPr>
        <a:xfrm>
          <a:off x="10677525" y="58638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272213FA-515C-46AA-8E42-03DC0E6A72F9}"/>
            </a:ext>
          </a:extLst>
        </xdr:cNvPr>
        <xdr:cNvSpPr txBox="1"/>
      </xdr:nvSpPr>
      <xdr:spPr>
        <a:xfrm>
          <a:off x="10677525" y="58638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43F554D3-A689-44A5-B24F-0325C2CD1DF6}"/>
            </a:ext>
          </a:extLst>
        </xdr:cNvPr>
        <xdr:cNvSpPr txBox="1"/>
      </xdr:nvSpPr>
      <xdr:spPr>
        <a:xfrm>
          <a:off x="10677525" y="58638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127C71C6-A90A-4B75-B1E8-CFB8501A76B6}"/>
            </a:ext>
          </a:extLst>
        </xdr:cNvPr>
        <xdr:cNvSpPr txBox="1"/>
      </xdr:nvSpPr>
      <xdr:spPr>
        <a:xfrm>
          <a:off x="10677525" y="586380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51F937CE-4ED0-4062-81C8-0A473A2D9B13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EDC6782C-6A15-481B-9B22-04950EB44C33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8DC21AC9-E64D-4017-84DE-5EAFCBABA721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BDE9A9A7-38D2-4508-8AC8-D3A5E4F09B0C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209498B4-A7C7-40D3-900A-43309246D1E1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8DC79F9A-E73D-4B7D-A148-FA65B15355FC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F97086D6-C53A-44FF-AB3E-BB0DB8C6B239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4C7D0C99-B86B-44A0-B0EB-AD972FFBEFEC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E1F5BB54-73AC-4B15-8775-C8CB0FFC19D9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37CD97D4-BDAF-41ED-9A2D-60B5BD612C7A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32</xdr:row>
      <xdr:rowOff>116417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D1C9AE42-BDE5-415E-B157-3C100A57A01F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9D3243B8-88ED-427E-AA8B-F6CF9C89B24F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92442AE-4A87-4C90-8CC6-45D7AE24B183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5553E721-7FBE-4BB6-9E34-A60503601295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B51B059-6D69-4723-B3B3-30588390B811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AFCF8A45-4038-4068-AF76-4BC0B1AE0BBB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552354E5-87A6-4125-BCB8-0299027D569A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E9624599-C541-4CE4-992B-348EE323DDCF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AA3AF946-CE7E-4823-985E-DEBC8E0B5235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EF3687F2-8AA2-4FEA-AD37-26B79599FD43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6FEF4587-710C-48CE-B11D-3590223BFE59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ADA50AFE-64C2-40A4-8025-8D49DA9C00D2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684860E1-045B-4094-81A1-8E1EAA28FBCB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4ECFE221-20F4-4792-B347-1A1DA7C5DD78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C35591F3-34F8-4F8F-9AD2-453AB9C7857F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E3341D5F-6D97-4CD1-BF4E-6E7C15F30CDE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33</xdr:row>
      <xdr:rowOff>116417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044828AC-49AE-4200-A4DC-4CC884A77753}"/>
            </a:ext>
          </a:extLst>
        </xdr:cNvPr>
        <xdr:cNvSpPr txBox="1"/>
      </xdr:nvSpPr>
      <xdr:spPr>
        <a:xfrm>
          <a:off x="13792200" y="64505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AB9AD06E-4946-4912-B9D9-B64008AB9609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080C3B9E-2D67-434B-943E-B5B0F1185D8E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955D3103-4271-44FB-B96D-3C9B27DC2C9B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651C534B-1441-469E-B431-41EB2CF98B8F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17</xdr:col>
      <xdr:colOff>0</xdr:colOff>
      <xdr:row>34</xdr:row>
      <xdr:rowOff>116417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3C474A3E-C5C3-40A0-9065-D48711076FD6}"/>
            </a:ext>
          </a:extLst>
        </xdr:cNvPr>
        <xdr:cNvSpPr txBox="1"/>
      </xdr:nvSpPr>
      <xdr:spPr>
        <a:xfrm>
          <a:off x="13792200" y="66505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0</xdr:col>
      <xdr:colOff>1447800</xdr:colOff>
      <xdr:row>0</xdr:row>
      <xdr:rowOff>104775</xdr:rowOff>
    </xdr:from>
    <xdr:to>
      <xdr:col>0</xdr:col>
      <xdr:colOff>2038350</xdr:colOff>
      <xdr:row>3</xdr:row>
      <xdr:rowOff>123825</xdr:rowOff>
    </xdr:to>
    <xdr:pic>
      <xdr:nvPicPr>
        <xdr:cNvPr id="332" name="Picture 331">
          <a:extLst>
            <a:ext uri="{FF2B5EF4-FFF2-40B4-BE49-F238E27FC236}">
              <a16:creationId xmlns:a16="http://schemas.microsoft.com/office/drawing/2014/main" id="{B58A61F6-DFBB-4380-82EB-249FD393A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104775"/>
          <a:ext cx="59055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922C1981-3DB4-4043-BECC-0465AB981C20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E4520575-9748-459E-A72E-F630AA1FE25A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588D2903-FB4C-46B7-A453-7AE86A11E48E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5A907FD8-518B-494D-B91E-470BE1D68136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A3793285-ADCD-4F61-B7EF-68606B6F859F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C18DAFFB-A1F2-4C06-8481-74533819089C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8504FAFD-CE81-40E4-8312-A23D03A4330E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3A7DB21C-825D-43CB-ABB5-816EFBEDF1AD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B5100AD4-EE39-4000-A9D9-59FD67E180D6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246</xdr:row>
      <xdr:rowOff>116417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7A286F74-D7AC-4228-95B5-101B61557827}"/>
            </a:ext>
          </a:extLst>
        </xdr:cNvPr>
        <xdr:cNvSpPr txBox="1"/>
      </xdr:nvSpPr>
      <xdr:spPr>
        <a:xfrm>
          <a:off x="10677525" y="5586624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EED78489-30B2-4347-9C65-826C21AAD7C6}"/>
            </a:ext>
          </a:extLst>
        </xdr:cNvPr>
        <xdr:cNvSpPr txBox="1"/>
      </xdr:nvSpPr>
      <xdr:spPr>
        <a:xfrm>
          <a:off x="10677525" y="560662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89E3F5D5-F969-4362-BA27-A727FF359F07}"/>
            </a:ext>
          </a:extLst>
        </xdr:cNvPr>
        <xdr:cNvSpPr txBox="1"/>
      </xdr:nvSpPr>
      <xdr:spPr>
        <a:xfrm>
          <a:off x="10677525" y="560662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02DB5D12-B3F0-4E39-9C12-B2A74B32A802}"/>
            </a:ext>
          </a:extLst>
        </xdr:cNvPr>
        <xdr:cNvSpPr txBox="1"/>
      </xdr:nvSpPr>
      <xdr:spPr>
        <a:xfrm>
          <a:off x="10677525" y="560662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2E162C5E-9A79-4B4B-87DD-F4D2E5B104FD}"/>
            </a:ext>
          </a:extLst>
        </xdr:cNvPr>
        <xdr:cNvSpPr txBox="1"/>
      </xdr:nvSpPr>
      <xdr:spPr>
        <a:xfrm>
          <a:off x="10677525" y="560662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12</xdr:col>
      <xdr:colOff>0</xdr:colOff>
      <xdr:row>247</xdr:row>
      <xdr:rowOff>116417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6E406A4A-8EEE-46CF-9847-51C128813069}"/>
            </a:ext>
          </a:extLst>
        </xdr:cNvPr>
        <xdr:cNvSpPr txBox="1"/>
      </xdr:nvSpPr>
      <xdr:spPr>
        <a:xfrm>
          <a:off x="10677525" y="560662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43D921BE-BF6D-4E07-9CFF-6ED763366718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7898BDC0-07B7-49D4-8ABE-CC49F7F28BD9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AAE0AC13-E6A2-4771-B5CD-6F90A16FEFC7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CF3C58C8-F326-443E-97E4-A1CA7C6237B8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DD0764F5-B897-4C34-90DB-4AFAB611B4B4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007A200C-EA2B-4D68-B0BF-4FFC99008A92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525D28DD-BB6E-4EFC-BCF1-8916ED12B28E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3C353ADF-CADB-4149-BACB-695A27F17174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BF41877B-15F2-4494-BA45-CD8DDEB06C08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95759682-F0DC-4A03-8103-8D975B3CDBAD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3E363C52-FB0B-446A-8595-30A9AB092EB1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99A8CD45-C1FA-4508-A366-1D8E1D8AB24A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F42E7E8C-B81E-4F6E-A6BE-C01D8A411BD2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FF22C95E-A934-4EA3-8B04-3417A3182D77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AC9FFBB5-5B1A-4F80-A813-44B8E4277194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451E240C-3EE5-4BD9-B96C-84C4A70FB0B5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48E7D61E-A74E-436D-95B0-9B8D41D2B02D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2E25D0AE-FA6C-46AB-A876-313CD46FE13C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F71BA593-8380-4645-B381-14F1395BDA8D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79FFFD85-6B70-4F49-8CD4-018256702B64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66D7FF9C-BAC2-4561-A26D-0C3F4FE900A4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71D27CE8-AB01-4403-9D0F-952CBE81EC12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9E5CBD6B-76BC-43F3-B84D-FC5CDC139A4F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400B2808-1C8F-47D6-8C24-0BC3C1958E08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246</xdr:row>
      <xdr:rowOff>116417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B6005FA8-804F-44CE-AD55-ACCD88026B7E}"/>
            </a:ext>
          </a:extLst>
        </xdr:cNvPr>
        <xdr:cNvSpPr txBox="1"/>
      </xdr:nvSpPr>
      <xdr:spPr>
        <a:xfrm>
          <a:off x="11972925" y="5206576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CA9469E4-7BE2-4281-B02A-DC67404918E6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01F98ECE-E1BE-4A0E-A1E4-3C0A27315E98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A27929D7-B2B3-44DE-A7EE-3CD6FFE04B98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6FC1D671-56DD-4D58-A8FD-E1EE8EA62F90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16</xdr:col>
      <xdr:colOff>0</xdr:colOff>
      <xdr:row>247</xdr:row>
      <xdr:rowOff>116417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262F67B2-9A15-43CB-A9B8-50F19D442196}"/>
            </a:ext>
          </a:extLst>
        </xdr:cNvPr>
        <xdr:cNvSpPr txBox="1"/>
      </xdr:nvSpPr>
      <xdr:spPr>
        <a:xfrm>
          <a:off x="11972925" y="522657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B70C6E30-4A52-4545-A3DF-3A0689ADE290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D0169677-B4F7-490B-83B9-C28A3784874D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7E561927-E07E-4DD5-8B0E-7F537FCE5EFF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E19DBBEB-13A6-4CF2-851A-AF846484C167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8EAC77DC-838A-4338-BA0C-06DAE8560ED0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A76C4643-068E-4246-9089-6BBCAC57A34E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11F19F5B-7506-42E6-8D1F-C85E1681CF96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12D01EA0-F99C-4F89-9F56-38E573DD0F07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B3AA568C-2581-47BA-A199-1578BFD076D4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A64A2601-8488-42D4-A9D1-6806E66EAB44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F6C55A48-753C-4E5F-A341-1DC0A476B44F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E66108EC-F346-4793-AEA5-AC348D325CA4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CC5286EA-BF6F-4914-969D-F980ED4AE1DA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C69F08C7-8F97-4CB6-AC68-2669F1677C83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3646807C-90E0-47E4-8EE4-13D8F7E8C9E7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4C5269D3-4EC1-4435-B021-038765E5378B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5BB2F32E-CD1B-4637-AA76-313DE9673622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3301A952-E969-4219-B1B7-78FF1B6EFD8F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D02A0298-E37F-454F-8ABC-AFC1CB3E97C9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CD78F0F7-9126-41E8-8D3E-32483A2A867A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CB57C587-4A65-460C-A7D2-1ED40BEEE04C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0F016E24-878B-42CB-8F94-8BA7DFB831F3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14750E68-5540-492C-8776-DF1111BF0AA1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38C011D0-2CD0-4507-80B9-8D0CC73D7459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246</xdr:row>
      <xdr:rowOff>116417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4640DF51-A33D-494D-89D6-5CAF6A2DA2FC}"/>
            </a:ext>
          </a:extLst>
        </xdr:cNvPr>
        <xdr:cNvSpPr txBox="1"/>
      </xdr:nvSpPr>
      <xdr:spPr>
        <a:xfrm>
          <a:off x="11972925" y="51465692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C77672DC-7268-4EE9-958A-85A425794E51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C719E819-DF2C-4574-AEE2-9BAFBAD34913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B85E85E2-45F9-4E37-846B-8E381504DC7A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0D7684FE-A5DE-419A-BB24-02EFD722FFBE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10</xdr:col>
      <xdr:colOff>0</xdr:colOff>
      <xdr:row>247</xdr:row>
      <xdr:rowOff>116417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5D58DDB3-EAD5-4FF8-B395-A777A483290A}"/>
            </a:ext>
          </a:extLst>
        </xdr:cNvPr>
        <xdr:cNvSpPr txBox="1"/>
      </xdr:nvSpPr>
      <xdr:spPr>
        <a:xfrm>
          <a:off x="11972925" y="516657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971550</xdr:colOff>
      <xdr:row>0</xdr:row>
      <xdr:rowOff>0</xdr:rowOff>
    </xdr:from>
    <xdr:to>
      <xdr:col>0</xdr:col>
      <xdr:colOff>1733550</xdr:colOff>
      <xdr:row>1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4A09D2D-E546-4609-97D2-55EA6CB50F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1550" y="0"/>
          <a:ext cx="762000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1200150</xdr:colOff>
      <xdr:row>0</xdr:row>
      <xdr:rowOff>0</xdr:rowOff>
    </xdr:from>
    <xdr:to>
      <xdr:col>0</xdr:col>
      <xdr:colOff>2266950</xdr:colOff>
      <xdr:row>1</xdr:row>
      <xdr:rowOff>495300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39F840-082D-1F74-097F-4CFFB4FA8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0" y="0"/>
          <a:ext cx="1066800" cy="1066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1200151</xdr:colOff>
      <xdr:row>0</xdr:row>
      <xdr:rowOff>0</xdr:rowOff>
    </xdr:from>
    <xdr:to>
      <xdr:col>0</xdr:col>
      <xdr:colOff>2228851</xdr:colOff>
      <xdr:row>1</xdr:row>
      <xdr:rowOff>80834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3C2E5EB-2BB5-4751-8A01-EAF54E79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0151" y="0"/>
          <a:ext cx="1028700" cy="11571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828675</xdr:colOff>
      <xdr:row>0</xdr:row>
      <xdr:rowOff>0</xdr:rowOff>
    </xdr:from>
    <xdr:to>
      <xdr:col>0</xdr:col>
      <xdr:colOff>1857375</xdr:colOff>
      <xdr:row>1</xdr:row>
      <xdr:rowOff>80834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912D82-04B9-4273-A8EC-658F4B0C3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0"/>
          <a:ext cx="1028700" cy="11571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1076325</xdr:colOff>
      <xdr:row>0</xdr:row>
      <xdr:rowOff>28575</xdr:rowOff>
    </xdr:from>
    <xdr:to>
      <xdr:col>0</xdr:col>
      <xdr:colOff>2105025</xdr:colOff>
      <xdr:row>1</xdr:row>
      <xdr:rowOff>109409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8D7F0B-DF45-4842-99BF-E6BB86AF5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6325" y="28575"/>
          <a:ext cx="1028700" cy="11571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809625</xdr:colOff>
      <xdr:row>0</xdr:row>
      <xdr:rowOff>0</xdr:rowOff>
    </xdr:from>
    <xdr:to>
      <xdr:col>0</xdr:col>
      <xdr:colOff>1838325</xdr:colOff>
      <xdr:row>1</xdr:row>
      <xdr:rowOff>80834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3E8697-C813-409B-B9A7-63E8854B9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25" y="0"/>
          <a:ext cx="1028700" cy="11571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962025</xdr:colOff>
      <xdr:row>0</xdr:row>
      <xdr:rowOff>0</xdr:rowOff>
    </xdr:from>
    <xdr:to>
      <xdr:col>0</xdr:col>
      <xdr:colOff>1924050</xdr:colOff>
      <xdr:row>1</xdr:row>
      <xdr:rowOff>85724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7F94E46-98E3-4FE5-A1FA-07E3E4604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0"/>
          <a:ext cx="962025" cy="1162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962025</xdr:colOff>
      <xdr:row>0</xdr:row>
      <xdr:rowOff>1</xdr:rowOff>
    </xdr:from>
    <xdr:to>
      <xdr:col>0</xdr:col>
      <xdr:colOff>1924050</xdr:colOff>
      <xdr:row>1</xdr:row>
      <xdr:rowOff>66676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E613EF6-BF15-4034-8AB9-C6AEFE892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025" y="1"/>
          <a:ext cx="962025" cy="1143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Banded Edge">
      <a:fillStyleLst>
        <a:solidFill>
          <a:schemeClr val="phClr"/>
        </a:solidFill>
        <a:solidFill>
          <a:schemeClr val="phClr">
            <a:tint val="50000"/>
          </a:schemeClr>
        </a:solidFill>
        <a:gradFill rotWithShape="1">
          <a:gsLst>
            <a:gs pos="0">
              <a:schemeClr val="phClr"/>
            </a:gs>
            <a:gs pos="90000">
              <a:schemeClr val="phClr">
                <a:shade val="100000"/>
              </a:schemeClr>
            </a:gs>
            <a:gs pos="100000">
              <a:schemeClr val="phClr">
                <a:shade val="85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53975" cap="flat" cmpd="dbl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17779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  <a:scene3d>
            <a:camera prst="orthographicFront">
              <a:rot lat="0" lon="0" rev="0"/>
            </a:camera>
            <a:lightRig rig="brightRoom" dir="t"/>
          </a:scene3d>
          <a:sp3d extrusionH="12700" contourW="25400" prstMaterial="flat">
            <a:bevelT w="63500" h="152400" prst="angle"/>
            <a:contourClr>
              <a:schemeClr val="phClr">
                <a:shade val="30000"/>
              </a:schemeClr>
            </a:contourClr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928"/>
  <sheetViews>
    <sheetView workbookViewId="0">
      <pane ySplit="4" topLeftCell="A227" activePane="bottomLeft" state="frozen"/>
      <selection pane="bottomLeft" activeCell="D35" sqref="D35"/>
    </sheetView>
  </sheetViews>
  <sheetFormatPr defaultColWidth="15.140625" defaultRowHeight="15" customHeight="1" x14ac:dyDescent="0.25"/>
  <cols>
    <col min="1" max="1" width="51.28515625" style="10" customWidth="1"/>
    <col min="2" max="2" width="12.85546875" style="32" customWidth="1"/>
    <col min="3" max="3" width="13.28515625" style="1" customWidth="1"/>
    <col min="4" max="4" width="13.85546875" style="32" customWidth="1"/>
    <col min="5" max="5" width="11.28515625" style="1" customWidth="1"/>
    <col min="6" max="6" width="17" style="32" bestFit="1" customWidth="1"/>
    <col min="7" max="7" width="10.7109375" style="1" customWidth="1"/>
    <col min="8" max="8" width="11.85546875" style="32" customWidth="1"/>
    <col min="9" max="9" width="11.28515625" style="1" customWidth="1"/>
    <col min="10" max="10" width="15.7109375" style="32" customWidth="1"/>
    <col min="11" max="11" width="15.5703125" style="1" bestFit="1" customWidth="1"/>
    <col min="12" max="12" width="15.5703125" style="1" hidden="1" customWidth="1"/>
    <col min="13" max="13" width="15.5703125" style="1" bestFit="1" customWidth="1"/>
    <col min="14" max="14" width="15.5703125" style="1" hidden="1" customWidth="1"/>
    <col min="15" max="15" width="13.7109375" style="1" hidden="1" customWidth="1"/>
    <col min="16" max="16" width="13.7109375" style="283" hidden="1" customWidth="1"/>
    <col min="17" max="17" width="15.5703125" style="1" bestFit="1" customWidth="1"/>
    <col min="18" max="18" width="47.5703125" style="24" bestFit="1" customWidth="1"/>
    <col min="19" max="19" width="4.7109375" style="39" customWidth="1"/>
    <col min="20" max="16384" width="15.140625" style="1"/>
  </cols>
  <sheetData>
    <row r="1" spans="1:19" ht="15" customHeight="1" x14ac:dyDescent="0.25">
      <c r="K1" s="4"/>
      <c r="L1" s="4"/>
      <c r="M1" s="4"/>
      <c r="N1" s="4"/>
      <c r="O1" s="4"/>
      <c r="Q1" s="4"/>
    </row>
    <row r="2" spans="1:19" ht="15" customHeight="1" x14ac:dyDescent="0.25">
      <c r="A2" s="73">
        <f ca="1">NOW()</f>
        <v>46070.496058680554</v>
      </c>
      <c r="K2" s="4"/>
      <c r="L2" s="4"/>
      <c r="M2" s="4"/>
      <c r="N2" s="4"/>
      <c r="O2" s="4"/>
      <c r="Q2" s="4"/>
    </row>
    <row r="3" spans="1:19" ht="15" customHeight="1" x14ac:dyDescent="0.25">
      <c r="A3" s="74"/>
      <c r="B3" s="130">
        <v>1</v>
      </c>
      <c r="C3" s="131">
        <v>2</v>
      </c>
      <c r="D3" s="130">
        <v>4</v>
      </c>
      <c r="E3" s="131">
        <v>11</v>
      </c>
      <c r="F3" s="130">
        <v>12</v>
      </c>
      <c r="G3" s="131">
        <v>13</v>
      </c>
      <c r="H3" s="130">
        <v>14</v>
      </c>
      <c r="I3" s="131">
        <v>15</v>
      </c>
      <c r="J3" s="130">
        <v>9</v>
      </c>
      <c r="K3" s="4"/>
      <c r="L3" s="4"/>
      <c r="M3" s="4"/>
      <c r="N3" s="4"/>
      <c r="O3" s="4"/>
      <c r="Q3" s="4"/>
    </row>
    <row r="4" spans="1:19" s="13" customFormat="1" ht="48.95" customHeight="1" x14ac:dyDescent="0.2">
      <c r="A4" s="88" t="s">
        <v>401</v>
      </c>
      <c r="B4" s="33" t="s">
        <v>264</v>
      </c>
      <c r="C4" s="28" t="s">
        <v>263</v>
      </c>
      <c r="D4" s="33" t="s">
        <v>271</v>
      </c>
      <c r="E4" s="28" t="s">
        <v>270</v>
      </c>
      <c r="F4" s="33" t="s">
        <v>269</v>
      </c>
      <c r="G4" s="28" t="s">
        <v>268</v>
      </c>
      <c r="H4" s="33" t="s">
        <v>283</v>
      </c>
      <c r="I4" s="28" t="s">
        <v>266</v>
      </c>
      <c r="J4" s="33" t="s">
        <v>282</v>
      </c>
      <c r="K4" s="29" t="s">
        <v>402</v>
      </c>
      <c r="L4" s="29" t="s">
        <v>302</v>
      </c>
      <c r="M4" s="29" t="s">
        <v>303</v>
      </c>
      <c r="N4" s="351" t="s">
        <v>297</v>
      </c>
      <c r="O4" s="29" t="s">
        <v>287</v>
      </c>
      <c r="P4" s="284" t="s">
        <v>295</v>
      </c>
      <c r="Q4" s="29" t="s">
        <v>441</v>
      </c>
      <c r="R4" s="31" t="s">
        <v>117</v>
      </c>
      <c r="S4" s="40"/>
    </row>
    <row r="5" spans="1:19" s="13" customFormat="1" ht="23.1" customHeight="1" x14ac:dyDescent="0.2">
      <c r="A5" s="89" t="s">
        <v>0</v>
      </c>
      <c r="B5" s="90"/>
      <c r="C5" s="49"/>
      <c r="D5" s="90"/>
      <c r="E5" s="49"/>
      <c r="F5" s="90"/>
      <c r="G5" s="49"/>
      <c r="H5" s="90"/>
      <c r="I5" s="49"/>
      <c r="J5" s="90"/>
      <c r="K5" s="61"/>
      <c r="L5" s="61"/>
      <c r="M5" s="61"/>
      <c r="N5" s="61"/>
      <c r="O5" s="61"/>
      <c r="P5" s="285"/>
      <c r="Q5" s="61"/>
      <c r="R5" s="24"/>
      <c r="S5" s="40"/>
    </row>
    <row r="6" spans="1:19" s="13" customFormat="1" ht="24" customHeight="1" x14ac:dyDescent="0.2">
      <c r="A6" s="76" t="s">
        <v>1</v>
      </c>
      <c r="B6" s="35"/>
      <c r="C6" s="17"/>
      <c r="D6" s="35"/>
      <c r="E6" s="17"/>
      <c r="F6" s="35"/>
      <c r="G6" s="17"/>
      <c r="H6" s="35"/>
      <c r="I6" s="17"/>
      <c r="J6" s="35"/>
      <c r="K6" s="14"/>
      <c r="L6" s="14"/>
      <c r="M6" s="14"/>
      <c r="N6" s="14"/>
      <c r="O6" s="14"/>
      <c r="P6" s="286"/>
      <c r="Q6" s="14"/>
      <c r="R6" s="24"/>
      <c r="S6" s="40"/>
    </row>
    <row r="7" spans="1:19" s="20" customFormat="1" x14ac:dyDescent="0.2">
      <c r="A7" s="77" t="s">
        <v>2</v>
      </c>
      <c r="B7" s="36">
        <v>437310</v>
      </c>
      <c r="C7" s="18"/>
      <c r="D7" s="36"/>
      <c r="E7" s="19"/>
      <c r="F7" s="36"/>
      <c r="H7" s="36"/>
      <c r="I7" s="18"/>
      <c r="J7" s="36"/>
      <c r="K7" s="21">
        <f>SUM(B7:J7)</f>
        <v>437310</v>
      </c>
      <c r="L7" s="21"/>
      <c r="M7" s="21">
        <v>422856</v>
      </c>
      <c r="N7" s="21">
        <v>396867</v>
      </c>
      <c r="O7" s="21">
        <v>246620</v>
      </c>
      <c r="P7" s="287">
        <f>IFERROR((+K7-N7)/N7,0)</f>
        <v>0.10190567620890625</v>
      </c>
      <c r="Q7" s="21">
        <v>379377</v>
      </c>
      <c r="R7" s="25" t="s">
        <v>421</v>
      </c>
      <c r="S7" s="41"/>
    </row>
    <row r="8" spans="1:19" s="20" customFormat="1" x14ac:dyDescent="0.2">
      <c r="A8" s="77" t="s">
        <v>260</v>
      </c>
      <c r="B8" s="36">
        <v>-26000</v>
      </c>
      <c r="C8" s="18"/>
      <c r="D8" s="36"/>
      <c r="E8" s="18"/>
      <c r="F8" s="36"/>
      <c r="H8" s="36"/>
      <c r="I8" s="18"/>
      <c r="J8" s="36"/>
      <c r="K8" s="21">
        <f>SUM(B8:J8)</f>
        <v>-26000</v>
      </c>
      <c r="L8" s="21"/>
      <c r="M8" s="21">
        <v>-25000</v>
      </c>
      <c r="N8" s="21"/>
      <c r="O8" s="21"/>
      <c r="P8" s="287">
        <f>IFERROR((+K8-N8)/N8,0)</f>
        <v>0</v>
      </c>
      <c r="Q8" s="21">
        <v>0</v>
      </c>
      <c r="R8" s="25" t="s">
        <v>405</v>
      </c>
      <c r="S8" s="41"/>
    </row>
    <row r="9" spans="1:19" s="13" customFormat="1" x14ac:dyDescent="0.2">
      <c r="A9" s="75" t="s">
        <v>3</v>
      </c>
      <c r="B9" s="36"/>
      <c r="C9" s="18">
        <f>145485-6200</f>
        <v>139285</v>
      </c>
      <c r="D9" s="37"/>
      <c r="E9" s="22"/>
      <c r="F9" s="37"/>
      <c r="G9" s="22"/>
      <c r="H9" s="37"/>
      <c r="I9" s="22"/>
      <c r="J9" s="37"/>
      <c r="K9" s="21">
        <f>SUM(B9:J9)</f>
        <v>139285</v>
      </c>
      <c r="L9" s="21"/>
      <c r="M9" s="21">
        <v>150252</v>
      </c>
      <c r="N9" s="21">
        <v>135717</v>
      </c>
      <c r="O9" s="21">
        <v>73161</v>
      </c>
      <c r="P9" s="287">
        <f>IFERROR((+K9-N9)/N9,0)</f>
        <v>2.629000051577916E-2</v>
      </c>
      <c r="Q9" s="21">
        <v>100462</v>
      </c>
      <c r="R9" s="69"/>
      <c r="S9" s="40"/>
    </row>
    <row r="10" spans="1:19" s="13" customFormat="1" x14ac:dyDescent="0.2">
      <c r="A10" s="75" t="s">
        <v>399</v>
      </c>
      <c r="B10" s="37">
        <v>1700</v>
      </c>
      <c r="C10" s="18"/>
      <c r="D10" s="37"/>
      <c r="E10" s="22"/>
      <c r="F10" s="37"/>
      <c r="G10" s="22"/>
      <c r="H10" s="37"/>
      <c r="I10" s="22"/>
      <c r="J10" s="37"/>
      <c r="K10" s="21">
        <f>SUM(B10:J10)</f>
        <v>1700</v>
      </c>
      <c r="L10" s="21"/>
      <c r="M10" s="21">
        <v>0</v>
      </c>
      <c r="N10" s="21">
        <v>0</v>
      </c>
      <c r="O10" s="21"/>
      <c r="P10" s="287"/>
      <c r="Q10" s="21">
        <v>2140</v>
      </c>
      <c r="R10" s="25" t="s">
        <v>398</v>
      </c>
      <c r="S10" s="40"/>
    </row>
    <row r="11" spans="1:19" s="27" customFormat="1" ht="21.95" customHeight="1" x14ac:dyDescent="0.25">
      <c r="A11" s="78" t="s">
        <v>4</v>
      </c>
      <c r="B11" s="50">
        <f t="shared" ref="B11:O11" si="0">SUM(B7:B10)</f>
        <v>413010</v>
      </c>
      <c r="C11" s="50">
        <f t="shared" si="0"/>
        <v>139285</v>
      </c>
      <c r="D11" s="50">
        <f t="shared" si="0"/>
        <v>0</v>
      </c>
      <c r="E11" s="50">
        <f t="shared" si="0"/>
        <v>0</v>
      </c>
      <c r="F11" s="50">
        <f t="shared" si="0"/>
        <v>0</v>
      </c>
      <c r="G11" s="50">
        <f t="shared" si="0"/>
        <v>0</v>
      </c>
      <c r="H11" s="50">
        <f t="shared" ref="H11" si="1">SUM(H7:H10)</f>
        <v>0</v>
      </c>
      <c r="I11" s="50">
        <f t="shared" si="0"/>
        <v>0</v>
      </c>
      <c r="J11" s="50">
        <f t="shared" ref="J11" si="2">SUM(J7:J10)</f>
        <v>0</v>
      </c>
      <c r="K11" s="30">
        <f t="shared" si="0"/>
        <v>552295</v>
      </c>
      <c r="L11" s="30"/>
      <c r="M11" s="30">
        <f t="shared" si="0"/>
        <v>548108</v>
      </c>
      <c r="N11" s="30">
        <f t="shared" si="0"/>
        <v>532584</v>
      </c>
      <c r="O11" s="30">
        <f t="shared" si="0"/>
        <v>319781</v>
      </c>
      <c r="P11" s="310">
        <f>IFERROR((+K11-N11)/N11,0)</f>
        <v>3.7010124224535472E-2</v>
      </c>
      <c r="Q11" s="30">
        <f t="shared" ref="Q11" si="3">SUM(Q7:Q10)</f>
        <v>481979</v>
      </c>
      <c r="R11" s="26"/>
      <c r="S11" s="42"/>
    </row>
    <row r="12" spans="1:19" s="13" customFormat="1" x14ac:dyDescent="0.2">
      <c r="A12" s="75"/>
      <c r="B12" s="35"/>
      <c r="C12" s="17"/>
      <c r="D12" s="35"/>
      <c r="E12" s="17"/>
      <c r="F12" s="35"/>
      <c r="G12" s="17"/>
      <c r="H12" s="35"/>
      <c r="I12" s="17"/>
      <c r="J12" s="35"/>
      <c r="K12" s="14"/>
      <c r="L12" s="14"/>
      <c r="M12" s="14"/>
      <c r="N12" s="14"/>
      <c r="O12" s="14"/>
      <c r="P12" s="286"/>
      <c r="Q12" s="14"/>
      <c r="R12" s="24"/>
      <c r="S12" s="40"/>
    </row>
    <row r="13" spans="1:19" s="13" customFormat="1" x14ac:dyDescent="0.2">
      <c r="A13" s="75"/>
      <c r="B13" s="35"/>
      <c r="C13" s="17"/>
      <c r="D13" s="35"/>
      <c r="E13" s="17"/>
      <c r="F13" s="35"/>
      <c r="G13" s="17"/>
      <c r="H13" s="35"/>
      <c r="I13" s="17"/>
      <c r="J13" s="35"/>
      <c r="K13" s="14"/>
      <c r="L13" s="14"/>
      <c r="M13" s="14"/>
      <c r="N13" s="14"/>
      <c r="O13" s="14"/>
      <c r="P13" s="286"/>
      <c r="Q13" s="14"/>
      <c r="R13" s="24"/>
      <c r="S13" s="40"/>
    </row>
    <row r="14" spans="1:19" s="13" customFormat="1" x14ac:dyDescent="0.2">
      <c r="A14" s="76" t="s">
        <v>156</v>
      </c>
      <c r="B14" s="35"/>
      <c r="C14" s="17"/>
      <c r="D14" s="35"/>
      <c r="E14" s="17"/>
      <c r="F14" s="35"/>
      <c r="G14" s="17"/>
      <c r="H14" s="35"/>
      <c r="I14" s="17"/>
      <c r="J14" s="35"/>
      <c r="K14" s="14"/>
      <c r="L14" s="14"/>
      <c r="M14" s="14"/>
      <c r="N14" s="14"/>
      <c r="O14" s="14"/>
      <c r="P14" s="286"/>
      <c r="Q14" s="14"/>
      <c r="R14" s="24"/>
      <c r="S14" s="40"/>
    </row>
    <row r="15" spans="1:19" s="13" customFormat="1" x14ac:dyDescent="0.2">
      <c r="A15" s="75" t="s">
        <v>114</v>
      </c>
      <c r="B15" s="37"/>
      <c r="C15" s="22"/>
      <c r="D15" s="37">
        <f>488802.08+29652.18</f>
        <v>518454.26</v>
      </c>
      <c r="E15" s="22">
        <v>14056</v>
      </c>
      <c r="F15" s="37">
        <v>62614</v>
      </c>
      <c r="G15" s="22">
        <v>4801</v>
      </c>
      <c r="H15" s="37">
        <v>5801</v>
      </c>
      <c r="I15" s="22"/>
      <c r="J15" s="37"/>
      <c r="K15" s="21">
        <f>SUM(B15:J15)</f>
        <v>605726.26</v>
      </c>
      <c r="L15" s="21"/>
      <c r="M15" s="21">
        <v>599989</v>
      </c>
      <c r="N15" s="21">
        <v>550243</v>
      </c>
      <c r="O15" s="21">
        <v>463434</v>
      </c>
      <c r="P15" s="287">
        <f>IFERROR((+K15-N15)/N15,0)</f>
        <v>0.1008341042048695</v>
      </c>
      <c r="Q15" s="21">
        <v>530587</v>
      </c>
      <c r="R15" s="24"/>
      <c r="S15" s="40"/>
    </row>
    <row r="16" spans="1:19" s="13" customFormat="1" x14ac:dyDescent="0.2">
      <c r="A16" s="77" t="s">
        <v>420</v>
      </c>
      <c r="B16" s="37"/>
      <c r="C16" s="22"/>
      <c r="D16" s="37"/>
      <c r="E16" s="22"/>
      <c r="F16" s="37"/>
      <c r="G16" s="22"/>
      <c r="H16" s="37"/>
      <c r="I16" s="18">
        <v>15205</v>
      </c>
      <c r="J16" s="37"/>
      <c r="K16" s="21">
        <f>SUM(B16:J16)</f>
        <v>15205</v>
      </c>
      <c r="L16" s="21"/>
      <c r="M16" s="21">
        <v>15205</v>
      </c>
      <c r="N16" s="21">
        <v>39185</v>
      </c>
      <c r="O16" s="21">
        <v>15497</v>
      </c>
      <c r="P16" s="287">
        <f>IFERROR((+K16-N16)/N16,0)</f>
        <v>-0.61196886563736119</v>
      </c>
      <c r="Q16" s="21">
        <v>16635</v>
      </c>
      <c r="R16" s="69" t="s">
        <v>453</v>
      </c>
      <c r="S16" s="40"/>
    </row>
    <row r="17" spans="1:19" s="13" customFormat="1" x14ac:dyDescent="0.2">
      <c r="A17" s="75" t="s">
        <v>121</v>
      </c>
      <c r="B17" s="37"/>
      <c r="C17" s="22"/>
      <c r="D17" s="36">
        <f>+D198+D204</f>
        <v>32014</v>
      </c>
      <c r="E17" s="22"/>
      <c r="F17" s="37"/>
      <c r="G17" s="22"/>
      <c r="H17" s="37"/>
      <c r="I17" s="22"/>
      <c r="J17" s="37"/>
      <c r="K17" s="21">
        <f>SUM(B17:J17)</f>
        <v>32014</v>
      </c>
      <c r="L17" s="21"/>
      <c r="M17" s="21">
        <v>31232</v>
      </c>
      <c r="N17" s="21">
        <v>24727</v>
      </c>
      <c r="O17" s="21">
        <v>12585</v>
      </c>
      <c r="P17" s="287">
        <f>IFERROR((+K17-N17)/N17,0)</f>
        <v>0.29469810328790391</v>
      </c>
      <c r="Q17" s="21">
        <v>29106</v>
      </c>
      <c r="R17" s="24" t="s">
        <v>228</v>
      </c>
      <c r="S17" s="40"/>
    </row>
    <row r="18" spans="1:19" s="13" customFormat="1" ht="23.1" customHeight="1" x14ac:dyDescent="0.2">
      <c r="A18" s="78" t="s">
        <v>157</v>
      </c>
      <c r="B18" s="50">
        <f t="shared" ref="B18:O18" si="4">SUM(B15:B17)</f>
        <v>0</v>
      </c>
      <c r="C18" s="50">
        <f t="shared" si="4"/>
        <v>0</v>
      </c>
      <c r="D18" s="50">
        <f t="shared" si="4"/>
        <v>550468.26</v>
      </c>
      <c r="E18" s="50">
        <f t="shared" si="4"/>
        <v>14056</v>
      </c>
      <c r="F18" s="50">
        <f t="shared" si="4"/>
        <v>62614</v>
      </c>
      <c r="G18" s="50">
        <f t="shared" si="4"/>
        <v>4801</v>
      </c>
      <c r="H18" s="50">
        <f t="shared" ref="H18" si="5">SUM(H15:H17)</f>
        <v>5801</v>
      </c>
      <c r="I18" s="50">
        <f t="shared" si="4"/>
        <v>15205</v>
      </c>
      <c r="J18" s="50">
        <f t="shared" ref="J18" si="6">SUM(J15:J17)</f>
        <v>0</v>
      </c>
      <c r="K18" s="30">
        <f t="shared" si="4"/>
        <v>652945.26</v>
      </c>
      <c r="L18" s="30"/>
      <c r="M18" s="30">
        <f t="shared" si="4"/>
        <v>646426</v>
      </c>
      <c r="N18" s="30">
        <f t="shared" si="4"/>
        <v>614155</v>
      </c>
      <c r="O18" s="30">
        <f t="shared" si="4"/>
        <v>491516</v>
      </c>
      <c r="P18" s="288"/>
      <c r="Q18" s="30">
        <f t="shared" ref="Q18" si="7">SUM(Q15:Q17)</f>
        <v>576328</v>
      </c>
      <c r="R18" s="24"/>
      <c r="S18" s="40"/>
    </row>
    <row r="19" spans="1:19" ht="15.75" x14ac:dyDescent="0.25">
      <c r="A19" s="75"/>
      <c r="B19" s="35"/>
      <c r="C19" s="17"/>
      <c r="D19" s="35"/>
      <c r="E19" s="17"/>
      <c r="F19" s="35"/>
      <c r="G19" s="17"/>
      <c r="H19" s="35"/>
      <c r="I19" s="17"/>
      <c r="J19" s="35"/>
      <c r="K19" s="14"/>
      <c r="L19" s="14"/>
      <c r="M19" s="14"/>
      <c r="N19" s="14"/>
      <c r="O19" s="14"/>
      <c r="P19" s="286"/>
      <c r="Q19" s="14"/>
    </row>
    <row r="20" spans="1:19" ht="15.75" x14ac:dyDescent="0.25">
      <c r="A20" s="407" t="s">
        <v>393</v>
      </c>
      <c r="B20" s="14"/>
      <c r="C20" s="14"/>
      <c r="D20" s="14"/>
      <c r="E20" s="14"/>
      <c r="F20" s="14"/>
      <c r="G20" s="14"/>
      <c r="H20" s="14"/>
      <c r="I20" s="14"/>
      <c r="J20" s="14">
        <v>32500</v>
      </c>
      <c r="K20" s="21">
        <f>SUM(B20:J20)</f>
        <v>32500</v>
      </c>
      <c r="L20" s="21"/>
      <c r="M20" s="21">
        <v>32500</v>
      </c>
      <c r="N20" s="21">
        <v>618</v>
      </c>
      <c r="O20" s="21">
        <v>76510</v>
      </c>
      <c r="P20" s="287">
        <f>(+K20-N20)/N20</f>
        <v>51.588996763754047</v>
      </c>
      <c r="Q20" s="21">
        <v>48745</v>
      </c>
      <c r="R20" s="24" t="s">
        <v>246</v>
      </c>
    </row>
    <row r="21" spans="1:19" s="11" customFormat="1" ht="15.75" x14ac:dyDescent="0.25">
      <c r="A21" s="408"/>
      <c r="B21" s="409"/>
      <c r="C21" s="409"/>
      <c r="D21" s="409"/>
      <c r="E21" s="409"/>
      <c r="F21" s="409"/>
      <c r="G21" s="409"/>
      <c r="H21" s="409"/>
      <c r="I21" s="409"/>
      <c r="J21" s="409"/>
      <c r="K21" s="273"/>
      <c r="L21" s="273"/>
      <c r="M21" s="273"/>
      <c r="N21" s="273"/>
      <c r="O21" s="273"/>
      <c r="P21" s="248"/>
      <c r="Q21" s="273"/>
      <c r="R21" s="244"/>
    </row>
    <row r="22" spans="1:19" ht="15.75" x14ac:dyDescent="0.25">
      <c r="A22" s="407" t="s">
        <v>392</v>
      </c>
      <c r="B22" s="14"/>
      <c r="C22" s="14"/>
      <c r="D22" s="14"/>
      <c r="E22" s="14"/>
      <c r="F22" s="14"/>
      <c r="G22" s="14"/>
      <c r="H22" s="14"/>
      <c r="I22" s="14"/>
      <c r="J22" s="14">
        <v>20000</v>
      </c>
      <c r="K22" s="21">
        <f>SUM(B22:J22)</f>
        <v>20000</v>
      </c>
      <c r="L22" s="21"/>
      <c r="M22" s="21">
        <v>20000</v>
      </c>
      <c r="N22" s="21"/>
      <c r="O22" s="21"/>
      <c r="P22" s="287"/>
      <c r="Q22" s="21">
        <v>20000</v>
      </c>
      <c r="R22" s="24" t="s">
        <v>246</v>
      </c>
    </row>
    <row r="23" spans="1:19" ht="15.75" x14ac:dyDescent="0.25">
      <c r="A23" s="75"/>
      <c r="B23" s="35"/>
      <c r="C23" s="17"/>
      <c r="D23" s="35"/>
      <c r="E23" s="17"/>
      <c r="F23" s="35"/>
      <c r="G23" s="17"/>
      <c r="H23" s="35"/>
      <c r="I23" s="17"/>
      <c r="J23" s="35"/>
      <c r="K23" s="14"/>
      <c r="L23" s="14"/>
      <c r="M23" s="14"/>
      <c r="N23" s="14"/>
      <c r="O23" s="14"/>
      <c r="P23" s="286"/>
      <c r="Q23" s="14"/>
    </row>
    <row r="24" spans="1:19" ht="15.75" x14ac:dyDescent="0.25">
      <c r="A24" s="76" t="s">
        <v>5</v>
      </c>
      <c r="B24" s="35"/>
      <c r="C24" s="17"/>
      <c r="D24" s="35"/>
      <c r="E24" s="17"/>
      <c r="F24" s="35"/>
      <c r="G24" s="17"/>
      <c r="H24" s="35"/>
      <c r="I24" s="17"/>
      <c r="J24" s="35"/>
      <c r="K24" s="14"/>
      <c r="L24" s="14"/>
      <c r="M24" s="14"/>
      <c r="N24" s="14"/>
      <c r="O24" s="14"/>
      <c r="P24" s="286"/>
      <c r="Q24" s="14"/>
    </row>
    <row r="25" spans="1:19" ht="15.75" x14ac:dyDescent="0.25">
      <c r="A25" s="75" t="s">
        <v>6</v>
      </c>
      <c r="B25" s="37"/>
      <c r="C25" s="22"/>
      <c r="D25" s="37"/>
      <c r="E25" s="22"/>
      <c r="F25" s="37"/>
      <c r="G25" s="22"/>
      <c r="H25" s="37"/>
      <c r="I25" s="22"/>
      <c r="J25" s="37"/>
      <c r="K25" s="21">
        <f>SUM(B25:J25)</f>
        <v>0</v>
      </c>
      <c r="L25" s="21"/>
      <c r="M25" s="21">
        <v>0</v>
      </c>
      <c r="N25" s="21">
        <v>17039</v>
      </c>
      <c r="O25" s="21">
        <v>17039</v>
      </c>
      <c r="P25" s="287"/>
      <c r="Q25" s="21">
        <v>1209</v>
      </c>
    </row>
    <row r="26" spans="1:19" ht="15.75" x14ac:dyDescent="0.25">
      <c r="A26" s="75" t="s">
        <v>7</v>
      </c>
      <c r="B26" s="37"/>
      <c r="C26" s="22"/>
      <c r="D26" s="37"/>
      <c r="E26" s="22"/>
      <c r="F26" s="37"/>
      <c r="G26" s="22"/>
      <c r="H26" s="37"/>
      <c r="I26" s="22"/>
      <c r="J26" s="37"/>
      <c r="K26" s="38"/>
      <c r="L26" s="38"/>
      <c r="M26" s="38"/>
      <c r="N26" s="38"/>
      <c r="O26" s="38"/>
      <c r="P26" s="289"/>
      <c r="Q26" s="38"/>
    </row>
    <row r="27" spans="1:19" ht="23.1" customHeight="1" x14ac:dyDescent="0.25">
      <c r="A27" s="78" t="s">
        <v>8</v>
      </c>
      <c r="B27" s="50">
        <f t="shared" ref="B27:O27" si="8">SUM(B25:B26)</f>
        <v>0</v>
      </c>
      <c r="C27" s="50">
        <f t="shared" si="8"/>
        <v>0</v>
      </c>
      <c r="D27" s="50">
        <f t="shared" si="8"/>
        <v>0</v>
      </c>
      <c r="E27" s="50">
        <f t="shared" si="8"/>
        <v>0</v>
      </c>
      <c r="F27" s="50">
        <f t="shared" si="8"/>
        <v>0</v>
      </c>
      <c r="G27" s="50">
        <f t="shared" si="8"/>
        <v>0</v>
      </c>
      <c r="H27" s="50">
        <f t="shared" ref="H27" si="9">SUM(H25:H26)</f>
        <v>0</v>
      </c>
      <c r="I27" s="50">
        <f t="shared" si="8"/>
        <v>0</v>
      </c>
      <c r="J27" s="50">
        <f t="shared" ref="J27" si="10">SUM(J25:J26)</f>
        <v>0</v>
      </c>
      <c r="K27" s="30">
        <f t="shared" si="8"/>
        <v>0</v>
      </c>
      <c r="L27" s="30"/>
      <c r="M27" s="30">
        <f t="shared" si="8"/>
        <v>0</v>
      </c>
      <c r="N27" s="30">
        <f t="shared" si="8"/>
        <v>17039</v>
      </c>
      <c r="O27" s="30">
        <f t="shared" si="8"/>
        <v>17039</v>
      </c>
      <c r="P27" s="288"/>
      <c r="Q27" s="30">
        <f t="shared" ref="Q27" si="11">SUM(Q25:Q26)</f>
        <v>1209</v>
      </c>
    </row>
    <row r="28" spans="1:19" ht="15.75" x14ac:dyDescent="0.25">
      <c r="A28" s="75"/>
      <c r="B28" s="35"/>
      <c r="C28" s="17"/>
      <c r="D28" s="35"/>
      <c r="E28" s="17"/>
      <c r="F28" s="35"/>
      <c r="G28" s="17"/>
      <c r="H28" s="35"/>
      <c r="I28" s="17"/>
      <c r="J28" s="35"/>
      <c r="K28" s="14"/>
      <c r="L28" s="14"/>
      <c r="M28" s="14"/>
      <c r="N28" s="14"/>
      <c r="O28" s="14"/>
      <c r="P28" s="286"/>
      <c r="Q28" s="14"/>
    </row>
    <row r="29" spans="1:19" ht="15.75" x14ac:dyDescent="0.25">
      <c r="A29" s="314" t="s">
        <v>301</v>
      </c>
      <c r="B29" s="315">
        <f>+B27+B18+B11+B20</f>
        <v>413010</v>
      </c>
      <c r="C29" s="315">
        <f t="shared" ref="C29:N29" si="12">+C27+C18+C11+C20</f>
        <v>139285</v>
      </c>
      <c r="D29" s="315">
        <f t="shared" si="12"/>
        <v>550468.26</v>
      </c>
      <c r="E29" s="315">
        <f t="shared" si="12"/>
        <v>14056</v>
      </c>
      <c r="F29" s="315">
        <f t="shared" si="12"/>
        <v>62614</v>
      </c>
      <c r="G29" s="315">
        <f t="shared" si="12"/>
        <v>4801</v>
      </c>
      <c r="H29" s="315">
        <f t="shared" si="12"/>
        <v>5801</v>
      </c>
      <c r="I29" s="315">
        <f t="shared" si="12"/>
        <v>15205</v>
      </c>
      <c r="J29" s="315">
        <f>+J27+J18+J11+J20+J22</f>
        <v>52500</v>
      </c>
      <c r="K29" s="315">
        <f t="shared" ref="K29:M29" si="13">+K27+K22+K20+K18+K11</f>
        <v>1257740.26</v>
      </c>
      <c r="L29" s="315">
        <f t="shared" si="13"/>
        <v>0</v>
      </c>
      <c r="M29" s="315">
        <f t="shared" si="13"/>
        <v>1247034</v>
      </c>
      <c r="N29" s="315">
        <f t="shared" si="12"/>
        <v>1164396</v>
      </c>
      <c r="O29" s="316"/>
      <c r="P29" s="317">
        <f>(+K29-N29)/N29</f>
        <v>8.016539046853477E-2</v>
      </c>
      <c r="Q29" s="315">
        <f>+Q27+Q22+Q20+Q18+Q11</f>
        <v>1128261</v>
      </c>
    </row>
    <row r="30" spans="1:19" ht="15.75" x14ac:dyDescent="0.25">
      <c r="A30" s="75"/>
      <c r="B30" s="35"/>
      <c r="C30" s="17"/>
      <c r="D30" s="35"/>
      <c r="E30" s="17"/>
      <c r="F30" s="35"/>
      <c r="G30" s="17"/>
      <c r="H30" s="35"/>
      <c r="I30" s="17"/>
      <c r="J30" s="35"/>
      <c r="K30" s="14"/>
      <c r="L30" s="14"/>
      <c r="M30" s="14"/>
      <c r="N30" s="14"/>
      <c r="O30" s="14"/>
      <c r="P30" s="286"/>
      <c r="Q30" s="14"/>
    </row>
    <row r="31" spans="1:19" ht="15.75" x14ac:dyDescent="0.25">
      <c r="A31" s="76" t="s">
        <v>211</v>
      </c>
      <c r="B31" s="35"/>
      <c r="C31" s="17"/>
      <c r="D31" s="35"/>
      <c r="E31" s="17"/>
      <c r="F31" s="35"/>
      <c r="G31" s="17"/>
      <c r="H31" s="35"/>
      <c r="I31" s="17"/>
      <c r="J31" s="35"/>
      <c r="K31" s="14"/>
      <c r="L31" s="14"/>
      <c r="M31" s="14"/>
      <c r="N31" s="14"/>
      <c r="O31" s="14"/>
      <c r="P31" s="286"/>
      <c r="Q31" s="14"/>
    </row>
    <row r="32" spans="1:19" ht="15.75" x14ac:dyDescent="0.25">
      <c r="A32" s="75" t="s">
        <v>10</v>
      </c>
      <c r="B32" s="35"/>
      <c r="C32" s="17"/>
      <c r="D32" s="35"/>
      <c r="E32" s="17"/>
      <c r="F32" s="35"/>
      <c r="G32" s="17"/>
      <c r="H32" s="35"/>
      <c r="I32" s="17"/>
      <c r="J32" s="35"/>
      <c r="K32" s="45">
        <f>SUM(B32:J32)</f>
        <v>0</v>
      </c>
      <c r="L32" s="45"/>
      <c r="M32" s="45">
        <v>0</v>
      </c>
      <c r="N32" s="45">
        <v>1286</v>
      </c>
      <c r="O32" s="45"/>
      <c r="P32" s="287">
        <f>IFERROR((+K32-N32)/N32,0)</f>
        <v>-1</v>
      </c>
      <c r="Q32" s="45">
        <v>-9988</v>
      </c>
      <c r="R32" s="69" t="s">
        <v>442</v>
      </c>
    </row>
    <row r="33" spans="1:18" ht="15.75" x14ac:dyDescent="0.25">
      <c r="A33" s="75" t="s">
        <v>11</v>
      </c>
      <c r="B33" s="37">
        <v>0</v>
      </c>
      <c r="C33" s="22"/>
      <c r="D33" s="37"/>
      <c r="E33" s="22"/>
      <c r="F33" s="37"/>
      <c r="G33" s="22"/>
      <c r="H33" s="37"/>
      <c r="I33" s="22"/>
      <c r="J33" s="37"/>
      <c r="K33" s="45">
        <f t="shared" ref="K33:K36" si="14">SUM(B33:J33)</f>
        <v>0</v>
      </c>
      <c r="L33" s="45"/>
      <c r="M33" s="45">
        <v>0</v>
      </c>
      <c r="N33" s="45">
        <v>34146</v>
      </c>
      <c r="O33" s="45"/>
      <c r="P33" s="287">
        <f>IFERROR((+K33-N33)/N33,0)</f>
        <v>-1</v>
      </c>
      <c r="Q33" s="45">
        <v>-1209</v>
      </c>
      <c r="R33" s="69" t="s">
        <v>400</v>
      </c>
    </row>
    <row r="34" spans="1:18" ht="15.75" x14ac:dyDescent="0.25">
      <c r="A34" s="75" t="s">
        <v>246</v>
      </c>
      <c r="B34" s="37">
        <f>300+66225</f>
        <v>66525</v>
      </c>
      <c r="C34" s="22"/>
      <c r="D34" s="37">
        <f>123938-52469</f>
        <v>71469</v>
      </c>
      <c r="E34" s="22">
        <v>-14056</v>
      </c>
      <c r="F34" s="37"/>
      <c r="G34" s="22"/>
      <c r="H34" s="37"/>
      <c r="I34" s="22"/>
      <c r="J34" s="37">
        <v>0</v>
      </c>
      <c r="K34" s="45">
        <f t="shared" si="14"/>
        <v>123938</v>
      </c>
      <c r="L34" s="45"/>
      <c r="M34" s="45">
        <f>50294+72609</f>
        <v>122903</v>
      </c>
      <c r="N34" s="45">
        <v>-110308</v>
      </c>
      <c r="O34" s="45"/>
      <c r="P34" s="287">
        <f>IFERROR((+K34-N34)/N34,0)</f>
        <v>-2.1235631141893605</v>
      </c>
      <c r="Q34" s="45">
        <f>137886-883</f>
        <v>137003</v>
      </c>
      <c r="R34" s="69" t="s">
        <v>443</v>
      </c>
    </row>
    <row r="35" spans="1:18" ht="15.75" x14ac:dyDescent="0.25">
      <c r="A35" s="75" t="s">
        <v>12</v>
      </c>
      <c r="B35" s="37"/>
      <c r="C35" s="17"/>
      <c r="D35" s="37"/>
      <c r="E35" s="22"/>
      <c r="F35" s="37"/>
      <c r="G35" s="22"/>
      <c r="H35" s="37"/>
      <c r="I35" s="22"/>
      <c r="J35" s="37"/>
      <c r="K35" s="45">
        <f t="shared" si="14"/>
        <v>0</v>
      </c>
      <c r="L35" s="45"/>
      <c r="M35" s="45">
        <v>0</v>
      </c>
      <c r="N35" s="45">
        <v>-12089</v>
      </c>
      <c r="O35" s="45"/>
      <c r="P35" s="287">
        <f>IFERROR((+K35-N35)/N35,0)</f>
        <v>-1</v>
      </c>
      <c r="Q35" s="45">
        <v>10642</v>
      </c>
      <c r="R35" s="69" t="s">
        <v>444</v>
      </c>
    </row>
    <row r="36" spans="1:18" ht="15.75" x14ac:dyDescent="0.25">
      <c r="A36" s="75" t="s">
        <v>431</v>
      </c>
      <c r="B36" s="37"/>
      <c r="C36" s="22"/>
      <c r="D36" s="37"/>
      <c r="E36" s="22">
        <v>14056</v>
      </c>
      <c r="F36" s="37"/>
      <c r="G36" s="22"/>
      <c r="H36" s="37"/>
      <c r="I36" s="22"/>
      <c r="J36" s="345">
        <v>844</v>
      </c>
      <c r="K36" s="45">
        <f t="shared" si="14"/>
        <v>14900</v>
      </c>
      <c r="L36" s="45"/>
      <c r="M36" s="45">
        <v>15000</v>
      </c>
      <c r="N36" s="45">
        <v>20473</v>
      </c>
      <c r="O36" s="45">
        <f>2872+1910</f>
        <v>4782</v>
      </c>
      <c r="P36" s="287">
        <f>IFERROR((+K36-N36)/N36,0)</f>
        <v>-0.2722121818981097</v>
      </c>
      <c r="Q36" s="45">
        <v>11262</v>
      </c>
      <c r="R36" s="69" t="s">
        <v>445</v>
      </c>
    </row>
    <row r="37" spans="1:18" ht="24.95" customHeight="1" x14ac:dyDescent="0.25">
      <c r="A37" s="78" t="s">
        <v>13</v>
      </c>
      <c r="B37" s="50">
        <f t="shared" ref="B37:I37" si="15">SUM(B32:B36)</f>
        <v>66525</v>
      </c>
      <c r="C37" s="50">
        <f t="shared" si="15"/>
        <v>0</v>
      </c>
      <c r="D37" s="50">
        <f t="shared" si="15"/>
        <v>71469</v>
      </c>
      <c r="E37" s="50">
        <f t="shared" si="15"/>
        <v>0</v>
      </c>
      <c r="F37" s="50">
        <f t="shared" si="15"/>
        <v>0</v>
      </c>
      <c r="G37" s="50">
        <f t="shared" si="15"/>
        <v>0</v>
      </c>
      <c r="H37" s="50">
        <f t="shared" ref="H37" si="16">SUM(H32:H36)</f>
        <v>0</v>
      </c>
      <c r="I37" s="50">
        <f t="shared" si="15"/>
        <v>0</v>
      </c>
      <c r="J37" s="50">
        <f t="shared" ref="J37" si="17">SUM(J32:J36)</f>
        <v>844</v>
      </c>
      <c r="K37" s="30">
        <f t="shared" ref="K37:N37" si="18">SUM(K32:K36)</f>
        <v>138838</v>
      </c>
      <c r="L37" s="30"/>
      <c r="M37" s="30">
        <f t="shared" ref="M37" si="19">SUM(M32:M36)</f>
        <v>137903</v>
      </c>
      <c r="N37" s="30">
        <f t="shared" si="18"/>
        <v>-66492</v>
      </c>
      <c r="O37" s="30">
        <f t="shared" ref="O37" si="20">SUM(O32:O36)</f>
        <v>4782</v>
      </c>
      <c r="P37" s="288"/>
      <c r="Q37" s="30">
        <f t="shared" ref="Q37" si="21">SUM(Q32:Q36)</f>
        <v>147710</v>
      </c>
    </row>
    <row r="38" spans="1:18" ht="15.75" x14ac:dyDescent="0.25">
      <c r="A38" s="75"/>
      <c r="B38" s="37"/>
      <c r="C38" s="47"/>
      <c r="D38" s="48"/>
      <c r="E38" s="47"/>
      <c r="F38" s="48"/>
      <c r="G38" s="47"/>
      <c r="H38" s="48"/>
      <c r="I38" s="47"/>
      <c r="J38" s="48"/>
      <c r="K38" s="46"/>
      <c r="L38" s="46"/>
      <c r="M38" s="46"/>
      <c r="N38" s="46"/>
      <c r="O38" s="46"/>
      <c r="P38" s="290"/>
      <c r="Q38" s="46"/>
    </row>
    <row r="39" spans="1:18" ht="18" x14ac:dyDescent="0.25">
      <c r="A39" s="107" t="s">
        <v>15</v>
      </c>
      <c r="B39" s="108">
        <f>+B11+B18+B27+B37+B20+B22</f>
        <v>479535</v>
      </c>
      <c r="C39" s="108">
        <f t="shared" ref="C39:N39" si="22">+C11+C18+C27+C37+C20+C22</f>
        <v>139285</v>
      </c>
      <c r="D39" s="108">
        <f t="shared" si="22"/>
        <v>621937.26</v>
      </c>
      <c r="E39" s="108">
        <f t="shared" si="22"/>
        <v>14056</v>
      </c>
      <c r="F39" s="108">
        <f t="shared" si="22"/>
        <v>62614</v>
      </c>
      <c r="G39" s="108">
        <f t="shared" si="22"/>
        <v>4801</v>
      </c>
      <c r="H39" s="108">
        <f t="shared" si="22"/>
        <v>5801</v>
      </c>
      <c r="I39" s="108">
        <f t="shared" si="22"/>
        <v>15205</v>
      </c>
      <c r="J39" s="108">
        <f t="shared" si="22"/>
        <v>53344</v>
      </c>
      <c r="K39" s="108">
        <f t="shared" ref="K39:M39" si="23">+K29+K37</f>
        <v>1396578.26</v>
      </c>
      <c r="L39" s="108">
        <f t="shared" si="23"/>
        <v>0</v>
      </c>
      <c r="M39" s="108">
        <f t="shared" si="23"/>
        <v>1384937</v>
      </c>
      <c r="N39" s="108">
        <f t="shared" si="22"/>
        <v>1097904</v>
      </c>
      <c r="O39" s="108">
        <f>+O11+O18+O27+O37+O20</f>
        <v>909628</v>
      </c>
      <c r="P39" s="291">
        <f>IFERROR((+K39-N39)/N39,0)</f>
        <v>0.27204041519112782</v>
      </c>
      <c r="Q39" s="108">
        <f>+Q29+Q37</f>
        <v>1275971</v>
      </c>
    </row>
    <row r="40" spans="1:18" ht="15.75" x14ac:dyDescent="0.25">
      <c r="A40" s="75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292"/>
      <c r="Q40" s="17"/>
    </row>
    <row r="41" spans="1:18" ht="18" x14ac:dyDescent="0.25">
      <c r="A41" s="89" t="s">
        <v>16</v>
      </c>
      <c r="B41" s="63"/>
      <c r="C41" s="64"/>
      <c r="D41" s="63"/>
      <c r="E41" s="64"/>
      <c r="F41" s="63"/>
      <c r="G41" s="64"/>
      <c r="H41" s="63"/>
      <c r="I41" s="64"/>
      <c r="J41" s="63"/>
      <c r="K41" s="65"/>
      <c r="L41" s="65"/>
      <c r="M41" s="65"/>
      <c r="N41" s="65"/>
      <c r="O41" s="65"/>
      <c r="P41" s="293"/>
      <c r="Q41" s="65"/>
    </row>
    <row r="42" spans="1:18" ht="15.75" x14ac:dyDescent="0.25">
      <c r="A42" s="76" t="s">
        <v>412</v>
      </c>
      <c r="B42" s="37"/>
      <c r="C42" s="22"/>
      <c r="D42" s="37"/>
      <c r="E42" s="22"/>
      <c r="F42" s="37"/>
      <c r="G42" s="22"/>
      <c r="H42" s="37"/>
      <c r="I42" s="22"/>
      <c r="J42" s="37"/>
      <c r="K42" s="38"/>
      <c r="L42" s="38"/>
      <c r="M42" s="38"/>
      <c r="N42" s="38"/>
      <c r="O42" s="38"/>
      <c r="P42" s="289"/>
      <c r="Q42" s="38"/>
    </row>
    <row r="43" spans="1:18" ht="15.75" x14ac:dyDescent="0.25">
      <c r="A43" s="75" t="s">
        <v>17</v>
      </c>
      <c r="B43" s="51"/>
      <c r="C43" s="18">
        <v>1200</v>
      </c>
      <c r="D43" s="36"/>
      <c r="E43" s="18"/>
      <c r="F43" s="36"/>
      <c r="G43" s="18"/>
      <c r="H43" s="36"/>
      <c r="I43" s="18"/>
      <c r="J43" s="36"/>
      <c r="K43" s="21">
        <f>SUM(B43:J43)</f>
        <v>1200</v>
      </c>
      <c r="L43" s="21"/>
      <c r="M43" s="21">
        <f>100+850+425</f>
        <v>1375</v>
      </c>
      <c r="N43" s="21">
        <v>0</v>
      </c>
      <c r="O43" s="21"/>
      <c r="P43" s="287">
        <f>IFERROR((+K43-N43)/N43,0)</f>
        <v>0</v>
      </c>
      <c r="Q43" s="21">
        <v>485</v>
      </c>
      <c r="R43" s="25" t="s">
        <v>424</v>
      </c>
    </row>
    <row r="44" spans="1:18" ht="15.75" customHeight="1" x14ac:dyDescent="0.25">
      <c r="A44" s="75" t="s">
        <v>18</v>
      </c>
      <c r="B44" s="51"/>
      <c r="C44" s="18">
        <v>14000</v>
      </c>
      <c r="D44" s="36"/>
      <c r="E44" s="18"/>
      <c r="F44" s="36">
        <v>13000</v>
      </c>
      <c r="G44" s="18"/>
      <c r="H44" s="36">
        <v>5801</v>
      </c>
      <c r="I44" s="18">
        <v>9980</v>
      </c>
      <c r="J44" s="36"/>
      <c r="K44" s="21">
        <f t="shared" ref="K44:K48" si="24">SUM(B44:J44)</f>
        <v>42781</v>
      </c>
      <c r="L44" s="21"/>
      <c r="M44" s="21">
        <f>13792+13000+5991+9980</f>
        <v>42763</v>
      </c>
      <c r="N44" s="21">
        <v>43751</v>
      </c>
      <c r="O44" s="21">
        <v>43313</v>
      </c>
      <c r="P44" s="287">
        <f>IFERROR((+K44-N44)/N44,0)</f>
        <v>-2.2170921807501544E-2</v>
      </c>
      <c r="Q44" s="21">
        <v>30946</v>
      </c>
      <c r="R44" s="24" t="s">
        <v>428</v>
      </c>
    </row>
    <row r="45" spans="1:18" ht="15.75" customHeight="1" x14ac:dyDescent="0.25">
      <c r="A45" s="75" t="s">
        <v>32</v>
      </c>
      <c r="B45" s="37"/>
      <c r="C45" s="18">
        <v>5000</v>
      </c>
      <c r="D45" s="37"/>
      <c r="E45" s="22"/>
      <c r="F45" s="37"/>
      <c r="G45" s="22"/>
      <c r="H45" s="37"/>
      <c r="I45" s="22"/>
      <c r="J45" s="37"/>
      <c r="K45" s="21">
        <f t="shared" si="24"/>
        <v>5000</v>
      </c>
      <c r="L45" s="21"/>
      <c r="M45" s="21">
        <v>5000</v>
      </c>
      <c r="N45" s="21">
        <v>4818</v>
      </c>
      <c r="O45" s="21">
        <v>3917</v>
      </c>
      <c r="P45" s="287">
        <f>IFERROR((+K45-N45)/N45,0)</f>
        <v>3.7775010377750107E-2</v>
      </c>
      <c r="Q45" s="21">
        <v>5000</v>
      </c>
    </row>
    <row r="46" spans="1:18" ht="15.75" x14ac:dyDescent="0.25">
      <c r="A46" s="75" t="s">
        <v>46</v>
      </c>
      <c r="B46" s="37"/>
      <c r="C46" s="18">
        <v>1360</v>
      </c>
      <c r="D46" s="37"/>
      <c r="E46" s="22"/>
      <c r="F46" s="37"/>
      <c r="G46" s="22"/>
      <c r="H46" s="37"/>
      <c r="I46" s="22"/>
      <c r="J46" s="37"/>
      <c r="K46" s="21">
        <f t="shared" si="24"/>
        <v>1360</v>
      </c>
      <c r="L46" s="21"/>
      <c r="M46" s="21">
        <v>1360</v>
      </c>
      <c r="N46" s="21">
        <v>1360</v>
      </c>
      <c r="O46" s="21">
        <v>1020</v>
      </c>
      <c r="P46" s="287">
        <f>IFERROR((+K46-N46)/N46,0)</f>
        <v>0</v>
      </c>
      <c r="Q46" s="21">
        <v>1360</v>
      </c>
    </row>
    <row r="47" spans="1:18" ht="15.75" x14ac:dyDescent="0.25">
      <c r="A47" s="75" t="s">
        <v>422</v>
      </c>
      <c r="B47" s="37"/>
      <c r="C47" s="18">
        <v>6500</v>
      </c>
      <c r="D47" s="37"/>
      <c r="E47" s="22"/>
      <c r="F47" s="37"/>
      <c r="G47" s="22"/>
      <c r="H47" s="37"/>
      <c r="I47" s="22"/>
      <c r="J47" s="37"/>
      <c r="K47" s="21">
        <f t="shared" si="24"/>
        <v>6500</v>
      </c>
      <c r="L47" s="21"/>
      <c r="M47" s="21">
        <f>2550+850+5200</f>
        <v>8600</v>
      </c>
      <c r="N47" s="21"/>
      <c r="O47" s="21"/>
      <c r="P47" s="287"/>
      <c r="Q47" s="21">
        <f>2550+850+5200</f>
        <v>8600</v>
      </c>
      <c r="R47" s="24" t="s">
        <v>423</v>
      </c>
    </row>
    <row r="48" spans="1:18" ht="15.75" x14ac:dyDescent="0.25">
      <c r="A48" s="75" t="s">
        <v>425</v>
      </c>
      <c r="B48" s="37"/>
      <c r="C48" s="18">
        <v>1775</v>
      </c>
      <c r="D48" s="37"/>
      <c r="E48" s="22"/>
      <c r="F48" s="37"/>
      <c r="G48" s="22"/>
      <c r="H48" s="37"/>
      <c r="I48" s="22">
        <v>5225</v>
      </c>
      <c r="J48" s="37"/>
      <c r="K48" s="21">
        <f t="shared" si="24"/>
        <v>7000</v>
      </c>
      <c r="L48" s="21"/>
      <c r="M48" s="21">
        <f>425+5225</f>
        <v>5650</v>
      </c>
      <c r="N48" s="21"/>
      <c r="O48" s="21"/>
      <c r="P48" s="287"/>
      <c r="Q48" s="21">
        <v>5005</v>
      </c>
      <c r="R48" s="24" t="s">
        <v>426</v>
      </c>
    </row>
    <row r="49" spans="1:19" ht="15.75" x14ac:dyDescent="0.25">
      <c r="A49" s="75" t="s">
        <v>427</v>
      </c>
      <c r="B49" s="37"/>
      <c r="C49" s="273">
        <v>8000</v>
      </c>
      <c r="D49" s="37"/>
      <c r="E49" s="22"/>
      <c r="F49" s="37"/>
      <c r="G49" s="22"/>
      <c r="H49" s="37"/>
      <c r="I49" s="22"/>
      <c r="J49" s="37"/>
      <c r="K49" s="21">
        <f t="shared" ref="K49" si="25">SUM(B49:J49)</f>
        <v>8000</v>
      </c>
      <c r="L49" s="21"/>
      <c r="M49" s="21">
        <v>7450</v>
      </c>
      <c r="N49" s="21">
        <v>5950</v>
      </c>
      <c r="O49" s="21">
        <v>2500</v>
      </c>
      <c r="P49" s="287">
        <f>IFERROR((+K49-N49)/N49,0)</f>
        <v>0.34453781512605042</v>
      </c>
      <c r="Q49" s="21">
        <v>1350</v>
      </c>
      <c r="R49" s="24" t="s">
        <v>118</v>
      </c>
    </row>
    <row r="50" spans="1:19" ht="15.75" x14ac:dyDescent="0.25">
      <c r="A50" s="424" t="s">
        <v>433</v>
      </c>
      <c r="B50" s="60">
        <f>SUM(B43:B49)</f>
        <v>0</v>
      </c>
      <c r="C50" s="60">
        <f t="shared" ref="C50:J50" si="26">SUM(C43:C49)</f>
        <v>37835</v>
      </c>
      <c r="D50" s="60">
        <f t="shared" si="26"/>
        <v>0</v>
      </c>
      <c r="E50" s="60">
        <f t="shared" si="26"/>
        <v>0</v>
      </c>
      <c r="F50" s="60">
        <f t="shared" si="26"/>
        <v>13000</v>
      </c>
      <c r="G50" s="60">
        <f t="shared" si="26"/>
        <v>0</v>
      </c>
      <c r="H50" s="60">
        <f t="shared" si="26"/>
        <v>5801</v>
      </c>
      <c r="I50" s="60">
        <f t="shared" si="26"/>
        <v>15205</v>
      </c>
      <c r="J50" s="60">
        <f t="shared" si="26"/>
        <v>0</v>
      </c>
      <c r="K50" s="30">
        <f>SUM(K43:K49)</f>
        <v>71841</v>
      </c>
      <c r="L50" s="30"/>
      <c r="M50" s="30">
        <f>SUM(M43:M49)</f>
        <v>72198</v>
      </c>
      <c r="N50" s="30">
        <f>SUM(N43:N44)</f>
        <v>43751</v>
      </c>
      <c r="O50" s="30">
        <f>SUM(O43:O44)</f>
        <v>43313</v>
      </c>
      <c r="P50" s="248">
        <f>IFERROR((+K50-N50)/N50,0)</f>
        <v>0.64204246760074057</v>
      </c>
      <c r="Q50" s="30">
        <f>SUM(Q43:Q49)</f>
        <v>52746</v>
      </c>
    </row>
    <row r="51" spans="1:19" s="67" customFormat="1" ht="15.75" customHeight="1" x14ac:dyDescent="0.25">
      <c r="A51" s="430"/>
      <c r="B51" s="425"/>
      <c r="C51" s="425"/>
      <c r="D51" s="425"/>
      <c r="E51" s="425"/>
      <c r="F51" s="425"/>
      <c r="G51" s="425"/>
      <c r="H51" s="425"/>
      <c r="I51" s="425"/>
      <c r="J51" s="425"/>
      <c r="K51" s="425"/>
      <c r="L51" s="425"/>
      <c r="M51" s="425"/>
      <c r="N51" s="425"/>
      <c r="O51" s="16"/>
      <c r="P51" s="296"/>
      <c r="Q51" s="425"/>
      <c r="R51" s="24"/>
      <c r="S51" s="66"/>
    </row>
    <row r="52" spans="1:19" ht="24.95" customHeight="1" x14ac:dyDescent="0.25">
      <c r="A52" s="76" t="s">
        <v>160</v>
      </c>
      <c r="B52" s="37"/>
      <c r="C52" s="22"/>
      <c r="D52" s="37"/>
      <c r="E52" s="22"/>
      <c r="F52" s="37"/>
      <c r="G52" s="22"/>
      <c r="H52" s="37"/>
      <c r="I52" s="22"/>
      <c r="J52" s="37"/>
      <c r="K52" s="38"/>
      <c r="L52" s="38"/>
      <c r="M52" s="38"/>
      <c r="N52" s="38"/>
      <c r="O52" s="38"/>
      <c r="P52" s="289"/>
      <c r="Q52" s="38"/>
    </row>
    <row r="53" spans="1:19" ht="15.75" x14ac:dyDescent="0.25">
      <c r="A53" s="75" t="s">
        <v>232</v>
      </c>
      <c r="B53" s="37"/>
      <c r="C53" s="242">
        <v>8800</v>
      </c>
      <c r="D53" s="37"/>
      <c r="E53" s="22"/>
      <c r="F53" s="37"/>
      <c r="G53" s="22"/>
      <c r="H53" s="37"/>
      <c r="I53" s="22"/>
      <c r="J53" s="37"/>
      <c r="K53" s="21">
        <f t="shared" ref="K53:K66" si="27">SUM(B53:J53)</f>
        <v>8800</v>
      </c>
      <c r="L53" s="21"/>
      <c r="M53" s="21">
        <v>9200</v>
      </c>
      <c r="N53" s="21">
        <v>9200</v>
      </c>
      <c r="O53" s="21">
        <v>2501</v>
      </c>
      <c r="P53" s="287">
        <f t="shared" ref="P53:P67" si="28">IFERROR((+K53-N53)/N53,0)</f>
        <v>-4.3478260869565216E-2</v>
      </c>
      <c r="Q53" s="21">
        <v>9200</v>
      </c>
    </row>
    <row r="54" spans="1:19" ht="15.75" customHeight="1" x14ac:dyDescent="0.25">
      <c r="A54" s="75" t="s">
        <v>233</v>
      </c>
      <c r="B54" s="37"/>
      <c r="C54" s="242">
        <v>3600</v>
      </c>
      <c r="D54" s="37"/>
      <c r="E54" s="22"/>
      <c r="F54" s="37"/>
      <c r="G54" s="22"/>
      <c r="H54" s="37"/>
      <c r="I54" s="22"/>
      <c r="J54" s="37"/>
      <c r="K54" s="21">
        <f t="shared" si="27"/>
        <v>3600</v>
      </c>
      <c r="L54" s="21"/>
      <c r="M54" s="21">
        <v>3600</v>
      </c>
      <c r="N54" s="21">
        <v>3600</v>
      </c>
      <c r="O54" s="21">
        <v>2700</v>
      </c>
      <c r="P54" s="287">
        <f t="shared" si="28"/>
        <v>0</v>
      </c>
      <c r="Q54" s="21">
        <v>3600</v>
      </c>
    </row>
    <row r="55" spans="1:19" ht="15.75" customHeight="1" x14ac:dyDescent="0.25">
      <c r="A55" s="75" t="s">
        <v>22</v>
      </c>
      <c r="B55" s="37"/>
      <c r="C55" s="242">
        <v>10600</v>
      </c>
      <c r="D55" s="37"/>
      <c r="E55" s="22"/>
      <c r="F55" s="37"/>
      <c r="G55" s="22"/>
      <c r="H55" s="37"/>
      <c r="I55" s="22"/>
      <c r="J55" s="37"/>
      <c r="K55" s="21">
        <f t="shared" si="27"/>
        <v>10600</v>
      </c>
      <c r="L55" s="21"/>
      <c r="M55" s="21">
        <v>11000</v>
      </c>
      <c r="N55" s="21">
        <v>11000</v>
      </c>
      <c r="O55" s="21">
        <v>2000</v>
      </c>
      <c r="P55" s="287">
        <f t="shared" si="28"/>
        <v>-3.6363636363636362E-2</v>
      </c>
      <c r="Q55" s="21">
        <v>10888</v>
      </c>
    </row>
    <row r="56" spans="1:19" ht="15.75" customHeight="1" x14ac:dyDescent="0.25">
      <c r="A56" s="75" t="s">
        <v>23</v>
      </c>
      <c r="B56" s="37"/>
      <c r="C56" s="242">
        <v>1800</v>
      </c>
      <c r="D56" s="37"/>
      <c r="E56" s="22"/>
      <c r="F56" s="37"/>
      <c r="G56" s="22"/>
      <c r="H56" s="37"/>
      <c r="I56" s="22"/>
      <c r="J56" s="37"/>
      <c r="K56" s="21">
        <f t="shared" si="27"/>
        <v>1800</v>
      </c>
      <c r="L56" s="21"/>
      <c r="M56" s="21">
        <v>1800</v>
      </c>
      <c r="N56" s="21">
        <v>1800</v>
      </c>
      <c r="O56" s="21">
        <v>1350</v>
      </c>
      <c r="P56" s="287">
        <f t="shared" si="28"/>
        <v>0</v>
      </c>
      <c r="Q56" s="21">
        <v>1800</v>
      </c>
    </row>
    <row r="57" spans="1:19" ht="15.75" x14ac:dyDescent="0.25">
      <c r="A57" s="75" t="s">
        <v>24</v>
      </c>
      <c r="B57" s="37"/>
      <c r="C57" s="273">
        <v>9400</v>
      </c>
      <c r="D57" s="37"/>
      <c r="E57" s="22"/>
      <c r="F57" s="37"/>
      <c r="G57" s="22"/>
      <c r="H57" s="37"/>
      <c r="I57" s="22"/>
      <c r="J57" s="37"/>
      <c r="K57" s="21">
        <f t="shared" si="27"/>
        <v>9400</v>
      </c>
      <c r="L57" s="21"/>
      <c r="M57" s="21">
        <v>9800</v>
      </c>
      <c r="N57" s="21">
        <v>10132</v>
      </c>
      <c r="O57" s="21">
        <v>3740</v>
      </c>
      <c r="P57" s="287">
        <f t="shared" si="28"/>
        <v>-7.2246348203711008E-2</v>
      </c>
      <c r="Q57" s="21">
        <v>9800</v>
      </c>
    </row>
    <row r="58" spans="1:19" ht="15.75" x14ac:dyDescent="0.25">
      <c r="A58" s="75" t="s">
        <v>25</v>
      </c>
      <c r="B58" s="37"/>
      <c r="C58" s="242">
        <v>3000</v>
      </c>
      <c r="D58" s="37"/>
      <c r="E58" s="22"/>
      <c r="F58" s="37"/>
      <c r="G58" s="22"/>
      <c r="H58" s="37"/>
      <c r="I58" s="22"/>
      <c r="J58" s="37"/>
      <c r="K58" s="21">
        <f t="shared" si="27"/>
        <v>3000</v>
      </c>
      <c r="L58" s="21"/>
      <c r="M58" s="21">
        <v>3000</v>
      </c>
      <c r="N58" s="21">
        <v>3000</v>
      </c>
      <c r="O58" s="21">
        <v>2250</v>
      </c>
      <c r="P58" s="287">
        <f t="shared" si="28"/>
        <v>0</v>
      </c>
      <c r="Q58" s="21">
        <v>3000</v>
      </c>
    </row>
    <row r="59" spans="1:19" ht="15.75" x14ac:dyDescent="0.25">
      <c r="A59" s="75" t="s">
        <v>161</v>
      </c>
      <c r="B59" s="37"/>
      <c r="C59" s="242">
        <v>10600</v>
      </c>
      <c r="D59" s="37"/>
      <c r="E59" s="22"/>
      <c r="F59" s="37"/>
      <c r="G59" s="22"/>
      <c r="H59" s="37"/>
      <c r="I59" s="22"/>
      <c r="J59" s="37"/>
      <c r="K59" s="21">
        <f t="shared" si="27"/>
        <v>10600</v>
      </c>
      <c r="L59" s="21"/>
      <c r="M59" s="21">
        <v>11000</v>
      </c>
      <c r="N59" s="21">
        <v>69</v>
      </c>
      <c r="O59" s="21">
        <v>69</v>
      </c>
      <c r="P59" s="287">
        <f t="shared" si="28"/>
        <v>152.62318840579709</v>
      </c>
      <c r="Q59" s="21">
        <v>3222</v>
      </c>
    </row>
    <row r="60" spans="1:19" ht="15.75" x14ac:dyDescent="0.25">
      <c r="A60" s="75" t="s">
        <v>162</v>
      </c>
      <c r="B60" s="37"/>
      <c r="C60" s="242">
        <v>1800</v>
      </c>
      <c r="D60" s="37"/>
      <c r="E60" s="22"/>
      <c r="F60" s="37"/>
      <c r="G60" s="22"/>
      <c r="H60" s="37"/>
      <c r="I60" s="22"/>
      <c r="J60" s="37"/>
      <c r="K60" s="21">
        <f t="shared" si="27"/>
        <v>1800</v>
      </c>
      <c r="L60" s="21"/>
      <c r="M60" s="21">
        <v>1800</v>
      </c>
      <c r="N60" s="21">
        <v>1800</v>
      </c>
      <c r="O60" s="21">
        <v>1350</v>
      </c>
      <c r="P60" s="287">
        <f t="shared" si="28"/>
        <v>0</v>
      </c>
      <c r="Q60" s="21">
        <v>1800</v>
      </c>
    </row>
    <row r="61" spans="1:19" ht="15.75" x14ac:dyDescent="0.25">
      <c r="A61" s="75" t="s">
        <v>26</v>
      </c>
      <c r="B61" s="37"/>
      <c r="C61" s="242">
        <f>12400-3600</f>
        <v>8800</v>
      </c>
      <c r="D61" s="37"/>
      <c r="E61" s="22"/>
      <c r="F61" s="37"/>
      <c r="G61" s="22"/>
      <c r="H61" s="37"/>
      <c r="I61" s="22"/>
      <c r="J61" s="37"/>
      <c r="K61" s="21">
        <f t="shared" si="27"/>
        <v>8800</v>
      </c>
      <c r="L61" s="21"/>
      <c r="M61" s="21">
        <v>11000</v>
      </c>
      <c r="N61" s="21">
        <v>2399</v>
      </c>
      <c r="O61" s="21">
        <v>1694</v>
      </c>
      <c r="P61" s="287">
        <f t="shared" si="28"/>
        <v>2.6681950812838684</v>
      </c>
      <c r="Q61" s="21">
        <v>3943</v>
      </c>
      <c r="R61" s="24" t="s">
        <v>407</v>
      </c>
    </row>
    <row r="62" spans="1:19" ht="15.75" x14ac:dyDescent="0.25">
      <c r="A62" s="75" t="s">
        <v>27</v>
      </c>
      <c r="B62" s="37"/>
      <c r="C62" s="242">
        <v>3600</v>
      </c>
      <c r="D62" s="37"/>
      <c r="E62" s="22"/>
      <c r="F62" s="37"/>
      <c r="G62" s="22"/>
      <c r="H62" s="37"/>
      <c r="I62" s="22"/>
      <c r="J62" s="37"/>
      <c r="K62" s="21">
        <f t="shared" si="27"/>
        <v>3600</v>
      </c>
      <c r="L62" s="21"/>
      <c r="M62" s="21">
        <v>1800</v>
      </c>
      <c r="N62" s="21">
        <v>3600</v>
      </c>
      <c r="O62" s="21">
        <v>2700</v>
      </c>
      <c r="P62" s="287">
        <f t="shared" si="28"/>
        <v>0</v>
      </c>
      <c r="Q62" s="21">
        <v>2850</v>
      </c>
    </row>
    <row r="63" spans="1:19" ht="15.75" x14ac:dyDescent="0.25">
      <c r="A63" s="75" t="s">
        <v>222</v>
      </c>
      <c r="B63" s="37"/>
      <c r="C63" s="242">
        <v>12400</v>
      </c>
      <c r="D63" s="37"/>
      <c r="E63" s="22"/>
      <c r="F63" s="37"/>
      <c r="G63" s="22"/>
      <c r="H63" s="37"/>
      <c r="I63" s="22"/>
      <c r="J63" s="37"/>
      <c r="K63" s="21">
        <f t="shared" si="27"/>
        <v>12400</v>
      </c>
      <c r="L63" s="21"/>
      <c r="M63" s="21">
        <v>12800</v>
      </c>
      <c r="N63" s="21">
        <v>12500</v>
      </c>
      <c r="O63" s="21">
        <v>7700</v>
      </c>
      <c r="P63" s="287">
        <f t="shared" si="28"/>
        <v>-8.0000000000000002E-3</v>
      </c>
      <c r="Q63" s="21">
        <v>12799</v>
      </c>
      <c r="S63" s="43"/>
    </row>
    <row r="64" spans="1:19" ht="15.75" x14ac:dyDescent="0.25">
      <c r="A64" s="75" t="s">
        <v>28</v>
      </c>
      <c r="B64" s="37"/>
      <c r="C64" s="242">
        <v>0</v>
      </c>
      <c r="D64" s="37"/>
      <c r="E64" s="22"/>
      <c r="F64" s="37"/>
      <c r="G64" s="22"/>
      <c r="H64" s="37"/>
      <c r="I64" s="22"/>
      <c r="J64" s="37"/>
      <c r="K64" s="21">
        <f t="shared" si="27"/>
        <v>0</v>
      </c>
      <c r="L64" s="21"/>
      <c r="M64" s="21">
        <v>0</v>
      </c>
      <c r="N64" s="21">
        <v>300</v>
      </c>
      <c r="O64" s="21">
        <v>300</v>
      </c>
      <c r="P64" s="287">
        <f t="shared" si="28"/>
        <v>-1</v>
      </c>
      <c r="Q64" s="21">
        <v>0</v>
      </c>
    </row>
    <row r="65" spans="1:18" ht="15.75" x14ac:dyDescent="0.25">
      <c r="A65" s="75" t="s">
        <v>159</v>
      </c>
      <c r="B65" s="37"/>
      <c r="C65" s="449">
        <v>-6200</v>
      </c>
      <c r="D65" s="37"/>
      <c r="E65" s="22"/>
      <c r="F65" s="37"/>
      <c r="G65" s="22"/>
      <c r="H65" s="37"/>
      <c r="I65" s="22"/>
      <c r="J65" s="37"/>
      <c r="K65" s="21">
        <f t="shared" si="27"/>
        <v>-6200</v>
      </c>
      <c r="L65" s="21"/>
      <c r="M65" s="21">
        <v>400</v>
      </c>
      <c r="N65" s="21">
        <v>0</v>
      </c>
      <c r="O65" s="21"/>
      <c r="P65" s="287">
        <f t="shared" si="28"/>
        <v>0</v>
      </c>
      <c r="Q65" s="21">
        <v>0</v>
      </c>
      <c r="R65" s="69"/>
    </row>
    <row r="66" spans="1:18" ht="15.75" x14ac:dyDescent="0.25">
      <c r="A66" s="75" t="s">
        <v>158</v>
      </c>
      <c r="B66" s="37"/>
      <c r="C66" s="273">
        <v>1800</v>
      </c>
      <c r="D66" s="37"/>
      <c r="E66" s="22"/>
      <c r="F66" s="37"/>
      <c r="G66" s="22"/>
      <c r="H66" s="37"/>
      <c r="I66" s="22"/>
      <c r="J66" s="37"/>
      <c r="K66" s="21">
        <f t="shared" si="27"/>
        <v>1800</v>
      </c>
      <c r="L66" s="21"/>
      <c r="M66" s="21">
        <v>3600</v>
      </c>
      <c r="N66" s="21">
        <v>1800</v>
      </c>
      <c r="O66" s="21">
        <v>1350</v>
      </c>
      <c r="P66" s="287">
        <f t="shared" si="28"/>
        <v>0</v>
      </c>
      <c r="Q66" s="21">
        <v>1800</v>
      </c>
      <c r="R66" s="59"/>
    </row>
    <row r="67" spans="1:18" ht="15.75" x14ac:dyDescent="0.25">
      <c r="A67" s="79" t="s">
        <v>29</v>
      </c>
      <c r="B67" s="60">
        <f t="shared" ref="B67:I67" si="29">SUM(B53:B66)</f>
        <v>0</v>
      </c>
      <c r="C67" s="60">
        <f t="shared" si="29"/>
        <v>70000</v>
      </c>
      <c r="D67" s="60">
        <f t="shared" si="29"/>
        <v>0</v>
      </c>
      <c r="E67" s="60">
        <f t="shared" si="29"/>
        <v>0</v>
      </c>
      <c r="F67" s="60">
        <f t="shared" si="29"/>
        <v>0</v>
      </c>
      <c r="G67" s="60">
        <f t="shared" si="29"/>
        <v>0</v>
      </c>
      <c r="H67" s="60">
        <f t="shared" ref="H67" si="30">SUM(H53:H66)</f>
        <v>0</v>
      </c>
      <c r="I67" s="60">
        <f t="shared" si="29"/>
        <v>0</v>
      </c>
      <c r="J67" s="60">
        <f t="shared" ref="J67" si="31">SUM(J53:J66)</f>
        <v>0</v>
      </c>
      <c r="K67" s="68">
        <f t="shared" ref="K67:O67" si="32">SUM(K53:K66)</f>
        <v>70000</v>
      </c>
      <c r="L67" s="68"/>
      <c r="M67" s="68">
        <f t="shared" si="32"/>
        <v>80800</v>
      </c>
      <c r="N67" s="68">
        <f t="shared" si="32"/>
        <v>61200</v>
      </c>
      <c r="O67" s="68">
        <f t="shared" si="32"/>
        <v>29704</v>
      </c>
      <c r="P67" s="248">
        <f t="shared" si="28"/>
        <v>0.1437908496732026</v>
      </c>
      <c r="Q67" s="68">
        <f t="shared" ref="Q67" si="33">SUM(Q53:Q66)</f>
        <v>64702</v>
      </c>
    </row>
    <row r="68" spans="1:18" ht="15.75" x14ac:dyDescent="0.25">
      <c r="A68" s="81"/>
      <c r="B68" s="35"/>
      <c r="C68" s="17"/>
      <c r="D68" s="35"/>
      <c r="E68" s="17"/>
      <c r="F68" s="35"/>
      <c r="G68" s="17"/>
      <c r="H68" s="35"/>
      <c r="I68" s="17"/>
      <c r="J68" s="35"/>
      <c r="K68" s="14"/>
      <c r="L68" s="14"/>
      <c r="M68" s="14"/>
      <c r="N68" s="14"/>
      <c r="O68" s="14"/>
      <c r="P68" s="286"/>
      <c r="Q68" s="14"/>
    </row>
    <row r="69" spans="1:18" ht="15.75" customHeight="1" x14ac:dyDescent="0.25">
      <c r="A69" s="75" t="s">
        <v>376</v>
      </c>
      <c r="B69" s="55"/>
      <c r="C69" s="56"/>
      <c r="D69" s="418">
        <v>56015</v>
      </c>
      <c r="E69" s="56"/>
      <c r="F69" s="55"/>
      <c r="G69" s="56"/>
      <c r="H69" s="55"/>
      <c r="I69" s="56"/>
      <c r="J69" s="55"/>
      <c r="K69" s="21">
        <f t="shared" ref="K69:K75" si="34">SUM(B69:J69)</f>
        <v>56015</v>
      </c>
      <c r="L69" s="21"/>
      <c r="M69" s="21">
        <v>53917</v>
      </c>
      <c r="N69" s="21">
        <v>41709</v>
      </c>
      <c r="O69" s="21">
        <f>29510+2500</f>
        <v>32010</v>
      </c>
      <c r="P69" s="287">
        <f t="shared" ref="P69:P76" si="35">IFERROR((+K69-N69)/N69,0)</f>
        <v>0.34299551655517996</v>
      </c>
      <c r="Q69" s="21">
        <v>48917</v>
      </c>
    </row>
    <row r="70" spans="1:18" ht="15.75" customHeight="1" x14ac:dyDescent="0.25">
      <c r="A70" s="75" t="s">
        <v>377</v>
      </c>
      <c r="B70" s="55"/>
      <c r="C70" s="56"/>
      <c r="D70" s="418">
        <v>30000</v>
      </c>
      <c r="E70" s="56"/>
      <c r="F70" s="55"/>
      <c r="G70" s="56"/>
      <c r="H70" s="55"/>
      <c r="I70" s="56"/>
      <c r="J70" s="55"/>
      <c r="K70" s="21">
        <f t="shared" si="34"/>
        <v>30000</v>
      </c>
      <c r="L70" s="21"/>
      <c r="M70" s="21">
        <v>30000</v>
      </c>
      <c r="N70" s="21">
        <v>10000</v>
      </c>
      <c r="O70" s="21"/>
      <c r="P70" s="287">
        <f t="shared" si="35"/>
        <v>2</v>
      </c>
      <c r="Q70" s="21">
        <v>35000</v>
      </c>
    </row>
    <row r="71" spans="1:18" ht="15.75" x14ac:dyDescent="0.25">
      <c r="A71" s="75" t="s">
        <v>406</v>
      </c>
      <c r="B71" s="55"/>
      <c r="C71" s="56"/>
      <c r="D71" s="418">
        <f>7311+1290+28795</f>
        <v>37396</v>
      </c>
      <c r="E71" s="56"/>
      <c r="F71" s="55"/>
      <c r="G71" s="56"/>
      <c r="H71" s="55"/>
      <c r="I71" s="56"/>
      <c r="J71" s="55"/>
      <c r="K71" s="21">
        <f t="shared" si="34"/>
        <v>37396</v>
      </c>
      <c r="L71" s="21"/>
      <c r="M71" s="21">
        <f>8392+26615</f>
        <v>35007</v>
      </c>
      <c r="N71" s="21">
        <v>12071</v>
      </c>
      <c r="O71" s="21">
        <v>2544</v>
      </c>
      <c r="P71" s="287">
        <f t="shared" si="35"/>
        <v>2.0980034794134701</v>
      </c>
      <c r="Q71" s="21">
        <v>35006</v>
      </c>
    </row>
    <row r="72" spans="1:18" ht="15.75" customHeight="1" x14ac:dyDescent="0.25">
      <c r="A72" s="75" t="s">
        <v>378</v>
      </c>
      <c r="B72" s="55"/>
      <c r="C72" s="56"/>
      <c r="D72" s="418">
        <v>6580</v>
      </c>
      <c r="E72" s="56"/>
      <c r="F72" s="55"/>
      <c r="G72" s="56"/>
      <c r="H72" s="55"/>
      <c r="I72" s="56"/>
      <c r="J72" s="55"/>
      <c r="K72" s="21">
        <f t="shared" si="34"/>
        <v>6580</v>
      </c>
      <c r="L72" s="21"/>
      <c r="M72" s="21">
        <v>6420</v>
      </c>
      <c r="N72" s="21">
        <v>3956</v>
      </c>
      <c r="O72" s="21">
        <v>2449</v>
      </c>
      <c r="P72" s="287">
        <f t="shared" si="35"/>
        <v>0.66329625884732057</v>
      </c>
      <c r="Q72" s="21">
        <v>6420</v>
      </c>
    </row>
    <row r="73" spans="1:18" ht="15.75" customHeight="1" x14ac:dyDescent="0.25">
      <c r="A73" s="75" t="s">
        <v>381</v>
      </c>
      <c r="B73" s="55"/>
      <c r="C73" s="56"/>
      <c r="D73" s="418">
        <v>1000</v>
      </c>
      <c r="E73" s="56"/>
      <c r="F73" s="55"/>
      <c r="G73" s="56"/>
      <c r="H73" s="55"/>
      <c r="I73" s="56"/>
      <c r="J73" s="55"/>
      <c r="K73" s="21">
        <f t="shared" si="34"/>
        <v>1000</v>
      </c>
      <c r="L73" s="21"/>
      <c r="M73" s="21">
        <v>1000</v>
      </c>
      <c r="N73" s="21">
        <v>481</v>
      </c>
      <c r="O73" s="21"/>
      <c r="P73" s="287">
        <f t="shared" si="35"/>
        <v>1.0790020790020789</v>
      </c>
      <c r="Q73" s="21">
        <v>1000</v>
      </c>
    </row>
    <row r="74" spans="1:18" ht="15.75" customHeight="1" x14ac:dyDescent="0.25">
      <c r="A74" s="75" t="s">
        <v>380</v>
      </c>
      <c r="B74" s="55"/>
      <c r="C74" s="56"/>
      <c r="D74" s="418">
        <v>5424</v>
      </c>
      <c r="E74" s="56"/>
      <c r="F74" s="55"/>
      <c r="G74" s="56"/>
      <c r="H74" s="55"/>
      <c r="I74" s="56"/>
      <c r="J74" s="55"/>
      <c r="K74" s="21">
        <f t="shared" si="34"/>
        <v>5424</v>
      </c>
      <c r="L74" s="21"/>
      <c r="M74" s="21">
        <v>5424</v>
      </c>
      <c r="N74" s="21">
        <v>1598</v>
      </c>
      <c r="O74" s="21">
        <v>210</v>
      </c>
      <c r="P74" s="287">
        <f t="shared" si="35"/>
        <v>2.3942428035043806</v>
      </c>
      <c r="Q74" s="21">
        <v>4499</v>
      </c>
    </row>
    <row r="75" spans="1:18" ht="15.75" x14ac:dyDescent="0.25">
      <c r="A75" s="75" t="s">
        <v>379</v>
      </c>
      <c r="B75" s="55"/>
      <c r="C75" s="56"/>
      <c r="D75" s="55">
        <v>4000</v>
      </c>
      <c r="E75" s="56"/>
      <c r="F75" s="55"/>
      <c r="G75" s="56"/>
      <c r="H75" s="55"/>
      <c r="I75" s="56"/>
      <c r="J75" s="55"/>
      <c r="K75" s="21">
        <f t="shared" si="34"/>
        <v>4000</v>
      </c>
      <c r="L75" s="21"/>
      <c r="M75" s="21">
        <v>4000</v>
      </c>
      <c r="N75" s="21">
        <v>2049</v>
      </c>
      <c r="O75" s="21">
        <v>1038</v>
      </c>
      <c r="P75" s="287">
        <f t="shared" si="35"/>
        <v>0.9521717911176184</v>
      </c>
      <c r="Q75" s="21">
        <v>2589</v>
      </c>
    </row>
    <row r="76" spans="1:18" ht="15.75" x14ac:dyDescent="0.25">
      <c r="A76" s="79" t="s">
        <v>396</v>
      </c>
      <c r="B76" s="61">
        <f t="shared" ref="B76:K76" si="36">SUM(B69:B75)</f>
        <v>0</v>
      </c>
      <c r="C76" s="61">
        <f t="shared" si="36"/>
        <v>0</v>
      </c>
      <c r="D76" s="61">
        <f t="shared" si="36"/>
        <v>140415</v>
      </c>
      <c r="E76" s="61">
        <f t="shared" si="36"/>
        <v>0</v>
      </c>
      <c r="F76" s="61">
        <f t="shared" si="36"/>
        <v>0</v>
      </c>
      <c r="G76" s="61">
        <f t="shared" si="36"/>
        <v>0</v>
      </c>
      <c r="H76" s="61">
        <f t="shared" si="36"/>
        <v>0</v>
      </c>
      <c r="I76" s="61">
        <f t="shared" si="36"/>
        <v>0</v>
      </c>
      <c r="J76" s="61">
        <f t="shared" si="36"/>
        <v>0</v>
      </c>
      <c r="K76" s="62">
        <f t="shared" si="36"/>
        <v>140415</v>
      </c>
      <c r="L76" s="62"/>
      <c r="M76" s="62">
        <f>SUM(M69:M75)</f>
        <v>135768</v>
      </c>
      <c r="N76" s="62">
        <f>SUM(N69:N75)</f>
        <v>71864</v>
      </c>
      <c r="O76" s="62">
        <f>SUM(O69:O75)</f>
        <v>38251</v>
      </c>
      <c r="P76" s="248">
        <f t="shared" si="35"/>
        <v>0.95389903150395194</v>
      </c>
      <c r="Q76" s="62">
        <f>SUM(Q69:Q75)</f>
        <v>133431</v>
      </c>
    </row>
    <row r="77" spans="1:18" ht="15.75" x14ac:dyDescent="0.25">
      <c r="A77" s="75"/>
      <c r="B77" s="35"/>
      <c r="C77" s="17"/>
      <c r="D77" s="35"/>
      <c r="E77" s="17"/>
      <c r="F77" s="35"/>
      <c r="G77" s="17"/>
      <c r="H77" s="35"/>
      <c r="I77" s="17"/>
      <c r="J77" s="35"/>
      <c r="K77" s="14"/>
      <c r="L77" s="14"/>
      <c r="M77" s="14"/>
      <c r="N77" s="14"/>
      <c r="O77" s="14"/>
      <c r="P77" s="286"/>
      <c r="Q77" s="14"/>
    </row>
    <row r="78" spans="1:18" ht="15.75" x14ac:dyDescent="0.25">
      <c r="A78" s="75"/>
      <c r="B78" s="37"/>
      <c r="C78" s="22"/>
      <c r="D78" s="37"/>
      <c r="E78" s="22"/>
      <c r="F78" s="37"/>
      <c r="G78" s="22"/>
      <c r="H78" s="37"/>
      <c r="I78" s="22"/>
      <c r="J78" s="37"/>
      <c r="K78" s="38"/>
      <c r="L78" s="38"/>
      <c r="M78" s="38"/>
      <c r="N78" s="38"/>
      <c r="O78" s="38"/>
      <c r="P78" s="289"/>
      <c r="Q78" s="38"/>
    </row>
    <row r="79" spans="1:18" ht="15.75" x14ac:dyDescent="0.25">
      <c r="A79" s="76" t="s">
        <v>153</v>
      </c>
      <c r="B79" s="52"/>
      <c r="C79" s="53"/>
      <c r="D79" s="52"/>
      <c r="E79" s="53"/>
      <c r="F79" s="52"/>
      <c r="G79" s="53"/>
      <c r="H79" s="52"/>
      <c r="I79" s="53"/>
      <c r="J79" s="52"/>
      <c r="K79" s="54"/>
      <c r="L79" s="54"/>
      <c r="M79" s="54"/>
      <c r="N79" s="54"/>
      <c r="O79" s="54"/>
      <c r="P79" s="294"/>
      <c r="Q79" s="54"/>
    </row>
    <row r="80" spans="1:18" ht="15.75" customHeight="1" x14ac:dyDescent="0.25">
      <c r="A80" s="77" t="s">
        <v>119</v>
      </c>
      <c r="B80" s="36">
        <v>1200</v>
      </c>
      <c r="C80" s="18"/>
      <c r="D80" s="37"/>
      <c r="E80" s="22"/>
      <c r="F80" s="37"/>
      <c r="G80" s="22"/>
      <c r="H80" s="37"/>
      <c r="I80" s="22"/>
      <c r="J80" s="37"/>
      <c r="K80" s="21">
        <f t="shared" ref="K80:K90" si="37">SUM(B80:J80)</f>
        <v>1200</v>
      </c>
      <c r="L80" s="21"/>
      <c r="M80" s="21">
        <v>1275</v>
      </c>
      <c r="N80" s="21">
        <v>0</v>
      </c>
      <c r="O80" s="21">
        <v>0</v>
      </c>
      <c r="P80" s="287">
        <f t="shared" ref="P80:P88" si="38">IFERROR((+K80-N80)/N80,0)</f>
        <v>0</v>
      </c>
      <c r="Q80" s="21">
        <v>0</v>
      </c>
    </row>
    <row r="81" spans="1:18" ht="15.75" x14ac:dyDescent="0.25">
      <c r="A81" s="77" t="s">
        <v>136</v>
      </c>
      <c r="B81" s="36">
        <v>5000</v>
      </c>
      <c r="C81" s="18"/>
      <c r="D81" s="37"/>
      <c r="E81" s="22"/>
      <c r="F81" s="37"/>
      <c r="G81" s="22">
        <v>4801</v>
      </c>
      <c r="H81" s="37"/>
      <c r="I81" s="22"/>
      <c r="J81" s="37"/>
      <c r="K81" s="21">
        <f t="shared" si="37"/>
        <v>9801</v>
      </c>
      <c r="L81" s="21"/>
      <c r="M81" s="21">
        <v>9991</v>
      </c>
      <c r="N81" s="21">
        <v>5279</v>
      </c>
      <c r="O81" s="21">
        <v>5279</v>
      </c>
      <c r="P81" s="287">
        <f t="shared" si="38"/>
        <v>0.85660162909641979</v>
      </c>
      <c r="Q81" s="21">
        <v>0</v>
      </c>
      <c r="R81" s="69" t="s">
        <v>446</v>
      </c>
    </row>
    <row r="82" spans="1:18" ht="15.75" x14ac:dyDescent="0.25">
      <c r="A82" s="77" t="s">
        <v>137</v>
      </c>
      <c r="B82" s="36">
        <v>400</v>
      </c>
      <c r="C82" s="18"/>
      <c r="D82" s="37"/>
      <c r="E82" s="22"/>
      <c r="F82" s="37"/>
      <c r="G82" s="22"/>
      <c r="H82" s="37"/>
      <c r="I82" s="22"/>
      <c r="J82" s="37"/>
      <c r="K82" s="21">
        <f t="shared" si="37"/>
        <v>400</v>
      </c>
      <c r="L82" s="21"/>
      <c r="M82" s="21">
        <v>425</v>
      </c>
      <c r="N82" s="21">
        <v>0</v>
      </c>
      <c r="O82" s="21">
        <v>0</v>
      </c>
      <c r="P82" s="287">
        <f t="shared" si="38"/>
        <v>0</v>
      </c>
      <c r="Q82" s="21">
        <v>0</v>
      </c>
      <c r="R82" s="24" t="s">
        <v>142</v>
      </c>
    </row>
    <row r="83" spans="1:18" ht="15.75" x14ac:dyDescent="0.25">
      <c r="A83" s="77" t="s">
        <v>417</v>
      </c>
      <c r="B83" s="36">
        <v>400</v>
      </c>
      <c r="C83" s="18"/>
      <c r="D83" s="37"/>
      <c r="E83" s="22"/>
      <c r="F83" s="37"/>
      <c r="G83" s="22"/>
      <c r="H83" s="37"/>
      <c r="I83" s="22"/>
      <c r="J83" s="37"/>
      <c r="K83" s="21">
        <f t="shared" si="37"/>
        <v>400</v>
      </c>
      <c r="L83" s="21"/>
      <c r="M83" s="21">
        <v>850</v>
      </c>
      <c r="N83" s="21">
        <v>389</v>
      </c>
      <c r="O83" s="21">
        <v>0</v>
      </c>
      <c r="P83" s="287">
        <f t="shared" si="38"/>
        <v>2.8277634961439587E-2</v>
      </c>
      <c r="Q83" s="21">
        <v>0</v>
      </c>
      <c r="R83" s="24" t="s">
        <v>418</v>
      </c>
    </row>
    <row r="84" spans="1:18" ht="15.75" x14ac:dyDescent="0.25">
      <c r="A84" s="77" t="s">
        <v>120</v>
      </c>
      <c r="B84" s="36">
        <f>300+400</f>
        <v>700</v>
      </c>
      <c r="C84" s="18"/>
      <c r="D84" s="37"/>
      <c r="E84" s="22"/>
      <c r="F84" s="37"/>
      <c r="G84" s="22"/>
      <c r="H84" s="37"/>
      <c r="I84" s="22"/>
      <c r="J84" s="37"/>
      <c r="K84" s="21">
        <f t="shared" si="37"/>
        <v>700</v>
      </c>
      <c r="L84" s="21"/>
      <c r="M84" s="21">
        <v>425</v>
      </c>
      <c r="N84" s="21">
        <v>0</v>
      </c>
      <c r="O84" s="21">
        <v>0</v>
      </c>
      <c r="P84" s="287">
        <f t="shared" si="38"/>
        <v>0</v>
      </c>
      <c r="Q84" s="21">
        <v>425</v>
      </c>
      <c r="R84" s="69" t="s">
        <v>447</v>
      </c>
    </row>
    <row r="85" spans="1:18" ht="15.75" x14ac:dyDescent="0.25">
      <c r="A85" s="77" t="s">
        <v>36</v>
      </c>
      <c r="B85" s="36">
        <v>400</v>
      </c>
      <c r="C85" s="18"/>
      <c r="D85" s="37"/>
      <c r="E85" s="22"/>
      <c r="F85" s="37"/>
      <c r="G85" s="22"/>
      <c r="H85" s="37"/>
      <c r="I85" s="22"/>
      <c r="J85" s="37"/>
      <c r="K85" s="21">
        <f t="shared" si="37"/>
        <v>400</v>
      </c>
      <c r="L85" s="21"/>
      <c r="M85" s="21">
        <v>638</v>
      </c>
      <c r="N85" s="21">
        <v>589</v>
      </c>
      <c r="O85" s="21">
        <v>515</v>
      </c>
      <c r="P85" s="287">
        <f t="shared" si="38"/>
        <v>-0.32088285229202035</v>
      </c>
      <c r="Q85" s="21">
        <v>218</v>
      </c>
      <c r="R85" s="24" t="s">
        <v>207</v>
      </c>
    </row>
    <row r="86" spans="1:18" ht="15.75" x14ac:dyDescent="0.25">
      <c r="A86" s="77" t="s">
        <v>37</v>
      </c>
      <c r="B86" s="36">
        <v>400</v>
      </c>
      <c r="C86" s="18"/>
      <c r="D86" s="37"/>
      <c r="E86" s="22"/>
      <c r="F86" s="37"/>
      <c r="G86" s="22"/>
      <c r="H86" s="37"/>
      <c r="I86" s="22"/>
      <c r="J86" s="37"/>
      <c r="K86" s="21">
        <f t="shared" si="37"/>
        <v>400</v>
      </c>
      <c r="L86" s="21"/>
      <c r="M86" s="21">
        <v>850</v>
      </c>
      <c r="N86" s="21">
        <v>57</v>
      </c>
      <c r="O86" s="21">
        <v>57</v>
      </c>
      <c r="P86" s="287">
        <f t="shared" si="38"/>
        <v>6.0175438596491224</v>
      </c>
      <c r="Q86" s="21">
        <v>33</v>
      </c>
    </row>
    <row r="87" spans="1:18" ht="15.75" x14ac:dyDescent="0.25">
      <c r="A87" s="77" t="s">
        <v>139</v>
      </c>
      <c r="B87" s="36">
        <v>200</v>
      </c>
      <c r="C87" s="18"/>
      <c r="D87" s="37"/>
      <c r="E87" s="22"/>
      <c r="F87" s="37"/>
      <c r="G87" s="22"/>
      <c r="H87" s="37"/>
      <c r="I87" s="22"/>
      <c r="J87" s="37"/>
      <c r="K87" s="21">
        <f t="shared" si="37"/>
        <v>200</v>
      </c>
      <c r="L87" s="21"/>
      <c r="M87" s="21">
        <v>850</v>
      </c>
      <c r="N87" s="21">
        <v>0</v>
      </c>
      <c r="O87" s="21">
        <v>0</v>
      </c>
      <c r="P87" s="287">
        <f t="shared" si="38"/>
        <v>0</v>
      </c>
      <c r="Q87" s="21">
        <v>0</v>
      </c>
    </row>
    <row r="88" spans="1:18" ht="15.75" x14ac:dyDescent="0.25">
      <c r="A88" s="311" t="s">
        <v>300</v>
      </c>
      <c r="B88" s="419">
        <f>SUM(B80:B87)</f>
        <v>8700</v>
      </c>
      <c r="C88" s="349">
        <f>SUM(C80:C87)</f>
        <v>0</v>
      </c>
      <c r="D88" s="312"/>
      <c r="E88" s="313"/>
      <c r="F88" s="312"/>
      <c r="G88" s="350">
        <f>SUM(G80:G87)</f>
        <v>4801</v>
      </c>
      <c r="H88" s="312"/>
      <c r="I88" s="313"/>
      <c r="J88" s="312"/>
      <c r="K88" s="313">
        <f>SUM(K80:K87)</f>
        <v>13501</v>
      </c>
      <c r="L88" s="313"/>
      <c r="M88" s="313">
        <f>SUM(M80:M87)</f>
        <v>15304</v>
      </c>
      <c r="N88" s="313">
        <f>SUM(N80:N87)</f>
        <v>6314</v>
      </c>
      <c r="O88" s="313"/>
      <c r="P88" s="310">
        <f t="shared" si="38"/>
        <v>1.1382641748495408</v>
      </c>
      <c r="Q88" s="313">
        <f>SUM(Q80:Q87)</f>
        <v>676</v>
      </c>
      <c r="R88" s="69"/>
    </row>
    <row r="89" spans="1:18" ht="15.75" x14ac:dyDescent="0.25">
      <c r="A89" s="77"/>
      <c r="B89" s="36"/>
      <c r="C89" s="273"/>
      <c r="D89" s="36"/>
      <c r="E89" s="273"/>
      <c r="F89" s="36"/>
      <c r="G89" s="273"/>
      <c r="H89" s="36"/>
      <c r="I89" s="273"/>
      <c r="J89" s="36"/>
      <c r="K89" s="21"/>
      <c r="L89" s="21"/>
      <c r="M89" s="21"/>
      <c r="N89" s="21"/>
      <c r="O89" s="21"/>
      <c r="P89" s="287"/>
      <c r="Q89" s="21"/>
    </row>
    <row r="90" spans="1:18" ht="15.75" x14ac:dyDescent="0.25">
      <c r="A90" s="75" t="s">
        <v>238</v>
      </c>
      <c r="B90" s="37">
        <v>0</v>
      </c>
      <c r="C90" s="242">
        <v>0</v>
      </c>
      <c r="D90" s="37">
        <v>0</v>
      </c>
      <c r="E90" s="242">
        <v>0</v>
      </c>
      <c r="F90" s="37">
        <v>0</v>
      </c>
      <c r="G90" s="242">
        <v>0</v>
      </c>
      <c r="H90" s="37">
        <v>0</v>
      </c>
      <c r="I90" s="242">
        <v>0</v>
      </c>
      <c r="J90" s="37">
        <v>32500</v>
      </c>
      <c r="K90" s="21">
        <f t="shared" si="37"/>
        <v>32500</v>
      </c>
      <c r="L90" s="21"/>
      <c r="M90" s="21">
        <v>32500</v>
      </c>
      <c r="N90" s="21">
        <v>618</v>
      </c>
      <c r="O90" s="21">
        <v>89148</v>
      </c>
      <c r="P90" s="287">
        <f>IFERROR((+K90-N90)/N90,0)</f>
        <v>51.588996763754047</v>
      </c>
      <c r="Q90" s="21">
        <v>48745</v>
      </c>
    </row>
    <row r="91" spans="1:18" ht="15.75" x14ac:dyDescent="0.25">
      <c r="A91" s="87" t="s">
        <v>38</v>
      </c>
      <c r="B91" s="86">
        <f t="shared" ref="B91:N91" si="39">+B88+B90</f>
        <v>8700</v>
      </c>
      <c r="C91" s="346">
        <f t="shared" si="39"/>
        <v>0</v>
      </c>
      <c r="D91" s="86">
        <f t="shared" si="39"/>
        <v>0</v>
      </c>
      <c r="E91" s="86">
        <f t="shared" si="39"/>
        <v>0</v>
      </c>
      <c r="F91" s="86">
        <f t="shared" si="39"/>
        <v>0</v>
      </c>
      <c r="G91" s="86">
        <f t="shared" ref="G91" si="40">+G88+G90</f>
        <v>4801</v>
      </c>
      <c r="H91" s="86">
        <f t="shared" si="39"/>
        <v>0</v>
      </c>
      <c r="I91" s="86">
        <f t="shared" si="39"/>
        <v>0</v>
      </c>
      <c r="J91" s="86">
        <f t="shared" si="39"/>
        <v>32500</v>
      </c>
      <c r="K91" s="68">
        <f t="shared" si="39"/>
        <v>46001</v>
      </c>
      <c r="L91" s="68"/>
      <c r="M91" s="68">
        <f t="shared" si="39"/>
        <v>47804</v>
      </c>
      <c r="N91" s="68">
        <f t="shared" si="39"/>
        <v>6932</v>
      </c>
      <c r="O91" s="68">
        <f>SUM(O80:O90)</f>
        <v>94999</v>
      </c>
      <c r="P91" s="248">
        <f>IFERROR((+K91-N91)/N91,0)</f>
        <v>5.6360357761107904</v>
      </c>
      <c r="Q91" s="68">
        <f t="shared" ref="Q91" si="41">+Q88+Q90</f>
        <v>49421</v>
      </c>
      <c r="R91" s="69"/>
    </row>
    <row r="92" spans="1:18" ht="15.75" x14ac:dyDescent="0.25">
      <c r="A92" s="80"/>
      <c r="B92" s="52"/>
      <c r="C92" s="53"/>
      <c r="D92" s="52"/>
      <c r="E92" s="53"/>
      <c r="F92" s="52"/>
      <c r="G92" s="53"/>
      <c r="H92" s="52"/>
      <c r="I92" s="53"/>
      <c r="J92" s="52"/>
      <c r="K92" s="54"/>
      <c r="L92" s="54"/>
      <c r="M92" s="54"/>
      <c r="N92" s="54"/>
      <c r="O92" s="54"/>
      <c r="P92" s="294"/>
      <c r="Q92" s="54"/>
    </row>
    <row r="93" spans="1:18" ht="15.75" x14ac:dyDescent="0.25">
      <c r="A93" s="76" t="s">
        <v>154</v>
      </c>
      <c r="B93" s="37"/>
      <c r="C93" s="22"/>
      <c r="D93" s="37"/>
      <c r="E93" s="22"/>
      <c r="F93" s="37"/>
      <c r="G93" s="22"/>
      <c r="H93" s="37"/>
      <c r="I93" s="22"/>
      <c r="J93" s="37"/>
      <c r="K93" s="38"/>
      <c r="L93" s="38"/>
      <c r="M93" s="38"/>
      <c r="N93" s="38"/>
      <c r="O93" s="38"/>
      <c r="P93" s="289"/>
      <c r="Q93" s="38"/>
    </row>
    <row r="94" spans="1:18" ht="15.75" x14ac:dyDescent="0.25">
      <c r="A94" s="75" t="s">
        <v>39</v>
      </c>
      <c r="B94" s="37">
        <v>2500</v>
      </c>
      <c r="C94" s="22"/>
      <c r="D94" s="37"/>
      <c r="E94" s="22"/>
      <c r="F94" s="37"/>
      <c r="G94" s="22"/>
      <c r="H94" s="37"/>
      <c r="I94" s="22"/>
      <c r="J94" s="37"/>
      <c r="K94" s="21">
        <f t="shared" ref="K94:K97" si="42">SUM(B94:J94)</f>
        <v>2500</v>
      </c>
      <c r="L94" s="21"/>
      <c r="M94" s="21">
        <v>0</v>
      </c>
      <c r="N94" s="21">
        <v>617</v>
      </c>
      <c r="O94" s="21">
        <v>617</v>
      </c>
      <c r="P94" s="287">
        <f>IFERROR((+K94-N94)/N94,0)</f>
        <v>3.0518638573743924</v>
      </c>
      <c r="Q94" s="21">
        <v>1375</v>
      </c>
    </row>
    <row r="95" spans="1:18" ht="15.75" x14ac:dyDescent="0.25">
      <c r="A95" s="75" t="s">
        <v>40</v>
      </c>
      <c r="B95" s="37"/>
      <c r="C95" s="22"/>
      <c r="D95" s="37"/>
      <c r="E95" s="22"/>
      <c r="F95" s="37"/>
      <c r="G95" s="22"/>
      <c r="H95" s="37"/>
      <c r="I95" s="22"/>
      <c r="J95" s="37"/>
      <c r="K95" s="21">
        <f t="shared" si="42"/>
        <v>0</v>
      </c>
      <c r="L95" s="21"/>
      <c r="M95" s="21">
        <v>0</v>
      </c>
      <c r="N95" s="21">
        <v>0</v>
      </c>
      <c r="O95" s="21">
        <v>0</v>
      </c>
      <c r="P95" s="287">
        <f>IFERROR((+K95-N95)/N95,0)</f>
        <v>0</v>
      </c>
      <c r="Q95" s="21">
        <v>0</v>
      </c>
    </row>
    <row r="96" spans="1:18" ht="15.75" x14ac:dyDescent="0.25">
      <c r="A96" s="75" t="s">
        <v>41</v>
      </c>
      <c r="B96" s="37">
        <v>500</v>
      </c>
      <c r="C96" s="22"/>
      <c r="D96" s="37"/>
      <c r="E96" s="22"/>
      <c r="F96" s="37"/>
      <c r="G96" s="22"/>
      <c r="H96" s="37"/>
      <c r="I96" s="22"/>
      <c r="J96" s="37"/>
      <c r="K96" s="21">
        <f t="shared" si="42"/>
        <v>500</v>
      </c>
      <c r="L96" s="21"/>
      <c r="M96" s="21">
        <v>120</v>
      </c>
      <c r="N96" s="21">
        <v>40</v>
      </c>
      <c r="O96" s="21">
        <v>0</v>
      </c>
      <c r="P96" s="287">
        <f>IFERROR((+K96-N96)/N96,0)</f>
        <v>11.5</v>
      </c>
      <c r="Q96" s="21">
        <v>790</v>
      </c>
    </row>
    <row r="97" spans="1:18" ht="15.75" x14ac:dyDescent="0.25">
      <c r="A97" s="75" t="s">
        <v>42</v>
      </c>
      <c r="B97" s="37">
        <v>1300</v>
      </c>
      <c r="C97" s="22"/>
      <c r="D97" s="37"/>
      <c r="E97" s="22"/>
      <c r="F97" s="37"/>
      <c r="G97" s="22"/>
      <c r="H97" s="37"/>
      <c r="I97" s="22"/>
      <c r="J97" s="37"/>
      <c r="K97" s="21">
        <f t="shared" si="42"/>
        <v>1300</v>
      </c>
      <c r="L97" s="21"/>
      <c r="M97" s="21">
        <v>1000</v>
      </c>
      <c r="N97" s="21">
        <v>1286</v>
      </c>
      <c r="O97" s="21">
        <v>86</v>
      </c>
      <c r="P97" s="287">
        <f>IFERROR((+K97-N97)/N97,0)</f>
        <v>1.088646967340591E-2</v>
      </c>
      <c r="Q97" s="21">
        <v>900</v>
      </c>
      <c r="R97" s="24" t="s">
        <v>241</v>
      </c>
    </row>
    <row r="98" spans="1:18" ht="15.75" x14ac:dyDescent="0.25">
      <c r="A98" s="82" t="s">
        <v>43</v>
      </c>
      <c r="B98" s="61">
        <f t="shared" ref="B98:K98" si="43">SUM(B94:B97)</f>
        <v>4300</v>
      </c>
      <c r="C98" s="61">
        <f t="shared" si="43"/>
        <v>0</v>
      </c>
      <c r="D98" s="61">
        <f t="shared" si="43"/>
        <v>0</v>
      </c>
      <c r="E98" s="61">
        <f t="shared" si="43"/>
        <v>0</v>
      </c>
      <c r="F98" s="61">
        <f t="shared" si="43"/>
        <v>0</v>
      </c>
      <c r="G98" s="61">
        <f t="shared" si="43"/>
        <v>0</v>
      </c>
      <c r="H98" s="61">
        <f t="shared" si="43"/>
        <v>0</v>
      </c>
      <c r="I98" s="61">
        <f t="shared" si="43"/>
        <v>0</v>
      </c>
      <c r="J98" s="61">
        <f t="shared" si="43"/>
        <v>0</v>
      </c>
      <c r="K98" s="62">
        <f t="shared" si="43"/>
        <v>4300</v>
      </c>
      <c r="L98" s="62"/>
      <c r="M98" s="62">
        <f>SUM(M94:M97)</f>
        <v>1120</v>
      </c>
      <c r="N98" s="62">
        <f>SUM(N94:N97)</f>
        <v>1943</v>
      </c>
      <c r="O98" s="62">
        <f>SUM(O94:O97)</f>
        <v>703</v>
      </c>
      <c r="P98" s="248">
        <f>IFERROR((+K98-N98)/N98,0)</f>
        <v>1.2130725681935153</v>
      </c>
      <c r="Q98" s="62">
        <f>SUM(Q94:Q97)</f>
        <v>3065</v>
      </c>
    </row>
    <row r="99" spans="1:18" ht="15.75" x14ac:dyDescent="0.25">
      <c r="A99" s="91"/>
      <c r="B99" s="35"/>
      <c r="C99" s="17"/>
      <c r="D99" s="35"/>
      <c r="E99" s="17"/>
      <c r="F99" s="35"/>
      <c r="G99" s="17"/>
      <c r="H99" s="35"/>
      <c r="I99" s="17"/>
      <c r="J99" s="35"/>
      <c r="K99" s="58"/>
      <c r="L99" s="58"/>
      <c r="M99" s="58"/>
      <c r="N99" s="58"/>
      <c r="O99" s="58"/>
      <c r="P99" s="295"/>
      <c r="Q99" s="58"/>
    </row>
    <row r="100" spans="1:18" ht="15.75" hidden="1" x14ac:dyDescent="0.25">
      <c r="A100" s="76" t="s">
        <v>19</v>
      </c>
      <c r="B100" s="37"/>
      <c r="C100" s="22"/>
      <c r="D100" s="37"/>
      <c r="E100" s="22"/>
      <c r="F100" s="51"/>
      <c r="G100" s="92"/>
      <c r="H100" s="51"/>
      <c r="I100" s="22"/>
      <c r="J100" s="51"/>
      <c r="K100" s="38"/>
      <c r="L100" s="38"/>
      <c r="M100" s="38"/>
      <c r="N100" s="38"/>
      <c r="O100" s="38"/>
      <c r="P100" s="289"/>
      <c r="Q100" s="38"/>
    </row>
    <row r="101" spans="1:18" ht="15.75" hidden="1" x14ac:dyDescent="0.25">
      <c r="A101" s="75" t="s">
        <v>249</v>
      </c>
      <c r="B101" s="93"/>
      <c r="C101" s="22"/>
      <c r="D101" s="37"/>
      <c r="E101" s="22"/>
      <c r="F101" s="37"/>
      <c r="G101" s="22"/>
      <c r="H101" s="37"/>
      <c r="I101" s="22"/>
      <c r="J101" s="37"/>
      <c r="K101" s="21">
        <f t="shared" ref="K101:K107" si="44">SUM(B101:J101)</f>
        <v>0</v>
      </c>
      <c r="L101" s="21"/>
      <c r="M101" s="21">
        <v>0</v>
      </c>
      <c r="N101" s="21">
        <v>9397</v>
      </c>
      <c r="O101" s="21">
        <v>7048</v>
      </c>
      <c r="P101" s="287">
        <f t="shared" ref="P101:P108" si="45">IFERROR((+K101-N101)/N101,0)</f>
        <v>-1</v>
      </c>
      <c r="Q101" s="21">
        <v>0</v>
      </c>
    </row>
    <row r="102" spans="1:18" ht="15.75" hidden="1" x14ac:dyDescent="0.25">
      <c r="A102" s="75" t="s">
        <v>251</v>
      </c>
      <c r="B102" s="93"/>
      <c r="C102" s="22"/>
      <c r="D102" s="37"/>
      <c r="E102" s="22"/>
      <c r="F102" s="37"/>
      <c r="G102" s="22"/>
      <c r="H102" s="37"/>
      <c r="I102" s="22"/>
      <c r="J102" s="37"/>
      <c r="K102" s="21">
        <f t="shared" si="44"/>
        <v>0</v>
      </c>
      <c r="L102" s="21"/>
      <c r="M102" s="21">
        <v>0</v>
      </c>
      <c r="N102" s="21">
        <v>30000</v>
      </c>
      <c r="O102" s="21">
        <v>22500</v>
      </c>
      <c r="P102" s="287">
        <f t="shared" si="45"/>
        <v>-1</v>
      </c>
      <c r="Q102" s="21">
        <v>0</v>
      </c>
      <c r="R102" s="25"/>
    </row>
    <row r="103" spans="1:18" ht="15.75" hidden="1" x14ac:dyDescent="0.25">
      <c r="A103" s="75" t="s">
        <v>252</v>
      </c>
      <c r="B103" s="93"/>
      <c r="C103" s="22"/>
      <c r="D103" s="37"/>
      <c r="E103" s="22"/>
      <c r="F103" s="37"/>
      <c r="G103" s="22"/>
      <c r="H103" s="37"/>
      <c r="I103" s="22"/>
      <c r="J103" s="37"/>
      <c r="K103" s="21">
        <f t="shared" si="44"/>
        <v>0</v>
      </c>
      <c r="L103" s="21"/>
      <c r="M103" s="21">
        <v>0</v>
      </c>
      <c r="N103" s="21">
        <v>19739</v>
      </c>
      <c r="O103" s="21">
        <v>14804</v>
      </c>
      <c r="P103" s="287">
        <f t="shared" si="45"/>
        <v>-1</v>
      </c>
      <c r="Q103" s="21">
        <v>0</v>
      </c>
      <c r="R103" s="25"/>
    </row>
    <row r="104" spans="1:18" ht="15.75" hidden="1" customHeight="1" x14ac:dyDescent="0.25">
      <c r="A104" s="75" t="s">
        <v>253</v>
      </c>
      <c r="B104" s="93"/>
      <c r="C104" s="22"/>
      <c r="D104" s="94"/>
      <c r="E104" s="22"/>
      <c r="F104" s="37"/>
      <c r="G104" s="22"/>
      <c r="H104" s="37"/>
      <c r="I104" s="22"/>
      <c r="J104" s="37"/>
      <c r="K104" s="21">
        <f t="shared" si="44"/>
        <v>0</v>
      </c>
      <c r="L104" s="21"/>
      <c r="M104" s="21">
        <v>0</v>
      </c>
      <c r="N104" s="21">
        <v>3014</v>
      </c>
      <c r="O104" s="21">
        <v>2260</v>
      </c>
      <c r="P104" s="287">
        <f t="shared" si="45"/>
        <v>-1</v>
      </c>
      <c r="Q104" s="21">
        <v>0</v>
      </c>
      <c r="R104" s="25"/>
    </row>
    <row r="105" spans="1:18" ht="15.75" hidden="1" x14ac:dyDescent="0.25">
      <c r="A105" s="75" t="s">
        <v>254</v>
      </c>
      <c r="B105" s="93"/>
      <c r="C105" s="22"/>
      <c r="D105" s="94"/>
      <c r="E105" s="22"/>
      <c r="F105" s="37"/>
      <c r="G105" s="22" t="s">
        <v>140</v>
      </c>
      <c r="H105" s="37"/>
      <c r="I105" s="22"/>
      <c r="J105" s="37"/>
      <c r="K105" s="21">
        <f t="shared" si="44"/>
        <v>0</v>
      </c>
      <c r="L105" s="21"/>
      <c r="M105" s="21">
        <v>0</v>
      </c>
      <c r="N105" s="21">
        <v>500</v>
      </c>
      <c r="O105" s="21">
        <v>250</v>
      </c>
      <c r="P105" s="287">
        <f t="shared" si="45"/>
        <v>-1</v>
      </c>
      <c r="Q105" s="21">
        <v>0</v>
      </c>
      <c r="R105" s="25"/>
    </row>
    <row r="106" spans="1:18" ht="15.75" hidden="1" x14ac:dyDescent="0.25">
      <c r="A106" s="75" t="s">
        <v>255</v>
      </c>
      <c r="B106" s="93"/>
      <c r="C106" s="22"/>
      <c r="D106" s="94"/>
      <c r="E106" s="22"/>
      <c r="F106" s="37"/>
      <c r="G106" s="22"/>
      <c r="H106" s="37"/>
      <c r="I106" s="22"/>
      <c r="J106" s="37"/>
      <c r="K106" s="21">
        <f t="shared" si="44"/>
        <v>0</v>
      </c>
      <c r="L106" s="21"/>
      <c r="M106" s="21">
        <v>0</v>
      </c>
      <c r="N106" s="21">
        <v>2075</v>
      </c>
      <c r="O106" s="21">
        <v>1022</v>
      </c>
      <c r="P106" s="287">
        <f t="shared" si="45"/>
        <v>-1</v>
      </c>
      <c r="Q106" s="21">
        <v>0</v>
      </c>
      <c r="R106" s="25"/>
    </row>
    <row r="107" spans="1:18" ht="15.75" hidden="1" x14ac:dyDescent="0.25">
      <c r="A107" s="75" t="s">
        <v>256</v>
      </c>
      <c r="B107" s="93"/>
      <c r="C107" s="22"/>
      <c r="D107" s="96"/>
      <c r="E107" s="22"/>
      <c r="F107" s="37"/>
      <c r="G107" s="22"/>
      <c r="H107" s="37"/>
      <c r="I107" s="22"/>
      <c r="J107" s="37"/>
      <c r="K107" s="21">
        <f t="shared" si="44"/>
        <v>0</v>
      </c>
      <c r="L107" s="21"/>
      <c r="M107" s="21">
        <v>0</v>
      </c>
      <c r="N107" s="21">
        <v>1810</v>
      </c>
      <c r="O107" s="21">
        <v>1360</v>
      </c>
      <c r="P107" s="287">
        <f t="shared" si="45"/>
        <v>-1</v>
      </c>
      <c r="Q107" s="21">
        <v>0</v>
      </c>
      <c r="R107" s="25"/>
    </row>
    <row r="108" spans="1:18" ht="15.75" hidden="1" x14ac:dyDescent="0.25">
      <c r="A108" s="79" t="s">
        <v>250</v>
      </c>
      <c r="B108" s="60">
        <f t="shared" ref="B108:I108" si="46">SUM(B101:B107)</f>
        <v>0</v>
      </c>
      <c r="C108" s="60">
        <f t="shared" si="46"/>
        <v>0</v>
      </c>
      <c r="D108" s="60">
        <f t="shared" si="46"/>
        <v>0</v>
      </c>
      <c r="E108" s="60">
        <f t="shared" si="46"/>
        <v>0</v>
      </c>
      <c r="F108" s="60">
        <f t="shared" si="46"/>
        <v>0</v>
      </c>
      <c r="G108" s="60">
        <f t="shared" si="46"/>
        <v>0</v>
      </c>
      <c r="H108" s="60">
        <f t="shared" ref="H108" si="47">SUM(H101:H107)</f>
        <v>0</v>
      </c>
      <c r="I108" s="60">
        <f t="shared" si="46"/>
        <v>0</v>
      </c>
      <c r="J108" s="60">
        <f t="shared" ref="J108" si="48">SUM(J101:J107)</f>
        <v>0</v>
      </c>
      <c r="K108" s="68">
        <f t="shared" ref="K108:O108" si="49">SUM(K101:K107)</f>
        <v>0</v>
      </c>
      <c r="L108" s="68"/>
      <c r="M108" s="68">
        <f t="shared" ref="M108:N108" si="50">SUM(M101:M107)</f>
        <v>0</v>
      </c>
      <c r="N108" s="68">
        <f t="shared" si="50"/>
        <v>66535</v>
      </c>
      <c r="O108" s="68">
        <f t="shared" si="49"/>
        <v>49244</v>
      </c>
      <c r="P108" s="248">
        <f t="shared" si="45"/>
        <v>-1</v>
      </c>
      <c r="Q108" s="68">
        <f t="shared" ref="Q108" si="51">SUM(Q101:Q107)</f>
        <v>0</v>
      </c>
    </row>
    <row r="109" spans="1:18" ht="15.75" hidden="1" x14ac:dyDescent="0.25">
      <c r="A109" s="85"/>
      <c r="B109" s="37"/>
      <c r="C109" s="22"/>
      <c r="D109" s="37"/>
      <c r="E109" s="22"/>
      <c r="F109" s="37"/>
      <c r="G109" s="22"/>
      <c r="H109" s="37"/>
      <c r="I109" s="22"/>
      <c r="J109" s="37"/>
      <c r="K109" s="95"/>
      <c r="L109" s="95"/>
      <c r="M109" s="95"/>
      <c r="N109" s="95"/>
      <c r="O109" s="95"/>
      <c r="P109" s="297"/>
      <c r="Q109" s="95"/>
    </row>
    <row r="110" spans="1:18" ht="15.75" hidden="1" x14ac:dyDescent="0.25">
      <c r="A110" s="79" t="s">
        <v>20</v>
      </c>
      <c r="B110" s="60">
        <f>+B108</f>
        <v>0</v>
      </c>
      <c r="C110" s="60">
        <f t="shared" ref="C110:K110" si="52">+C108</f>
        <v>0</v>
      </c>
      <c r="D110" s="60">
        <f t="shared" si="52"/>
        <v>0</v>
      </c>
      <c r="E110" s="60">
        <f t="shared" si="52"/>
        <v>0</v>
      </c>
      <c r="F110" s="60">
        <f t="shared" si="52"/>
        <v>0</v>
      </c>
      <c r="G110" s="60">
        <f t="shared" si="52"/>
        <v>0</v>
      </c>
      <c r="H110" s="60">
        <f t="shared" ref="H110" si="53">+H108</f>
        <v>0</v>
      </c>
      <c r="I110" s="60">
        <f t="shared" si="52"/>
        <v>0</v>
      </c>
      <c r="J110" s="60">
        <f t="shared" ref="J110" si="54">+J108</f>
        <v>0</v>
      </c>
      <c r="K110" s="30">
        <f t="shared" si="52"/>
        <v>0</v>
      </c>
      <c r="L110" s="30"/>
      <c r="M110" s="30">
        <f t="shared" ref="M110:N110" si="55">+M108</f>
        <v>0</v>
      </c>
      <c r="N110" s="30">
        <f t="shared" si="55"/>
        <v>66535</v>
      </c>
      <c r="O110" s="30">
        <f t="shared" ref="O110" si="56">+O108</f>
        <v>49244</v>
      </c>
      <c r="P110" s="248">
        <f>IFERROR((+K110-N110)/N110,0)</f>
        <v>-1</v>
      </c>
      <c r="Q110" s="30">
        <f t="shared" ref="Q110" si="57">+Q108</f>
        <v>0</v>
      </c>
    </row>
    <row r="111" spans="1:18" ht="15.75" x14ac:dyDescent="0.25">
      <c r="A111" s="79" t="s">
        <v>403</v>
      </c>
      <c r="B111" s="60">
        <f>+B98+B91</f>
        <v>13000</v>
      </c>
      <c r="C111" s="60">
        <f t="shared" ref="C111:J111" si="58">+C98+C91</f>
        <v>0</v>
      </c>
      <c r="D111" s="60">
        <f t="shared" si="58"/>
        <v>0</v>
      </c>
      <c r="E111" s="60">
        <f t="shared" si="58"/>
        <v>0</v>
      </c>
      <c r="F111" s="60">
        <f t="shared" si="58"/>
        <v>0</v>
      </c>
      <c r="G111" s="60">
        <f t="shared" si="58"/>
        <v>4801</v>
      </c>
      <c r="H111" s="60">
        <f t="shared" si="58"/>
        <v>0</v>
      </c>
      <c r="I111" s="60">
        <f t="shared" si="58"/>
        <v>0</v>
      </c>
      <c r="J111" s="60">
        <f t="shared" si="58"/>
        <v>32500</v>
      </c>
      <c r="K111" s="30">
        <f>+K98+K91</f>
        <v>50301</v>
      </c>
      <c r="L111" s="30"/>
      <c r="M111" s="30">
        <f t="shared" ref="M111:N111" si="59">+M98+M91</f>
        <v>48924</v>
      </c>
      <c r="N111" s="30">
        <f t="shared" si="59"/>
        <v>8875</v>
      </c>
      <c r="O111" s="30" t="e">
        <f>+O110+O98+O91+#REF!</f>
        <v>#REF!</v>
      </c>
      <c r="P111" s="248">
        <f>IFERROR((+K111-N111)/N111,0)</f>
        <v>4.667718309859155</v>
      </c>
      <c r="Q111" s="30">
        <f t="shared" ref="Q111" si="60">+Q98+Q91</f>
        <v>52486</v>
      </c>
    </row>
    <row r="112" spans="1:18" ht="15.75" x14ac:dyDescent="0.25">
      <c r="A112" s="75"/>
      <c r="B112" s="35"/>
      <c r="C112" s="17"/>
      <c r="D112" s="35"/>
      <c r="E112" s="17"/>
      <c r="F112" s="35"/>
      <c r="G112" s="17"/>
      <c r="H112" s="35"/>
      <c r="I112" s="17"/>
      <c r="J112" s="35"/>
      <c r="K112" s="14"/>
      <c r="L112" s="14"/>
      <c r="M112" s="14"/>
      <c r="N112" s="14"/>
      <c r="O112" s="14"/>
      <c r="P112" s="286"/>
      <c r="Q112" s="14"/>
    </row>
    <row r="113" spans="1:18" ht="23.1" customHeight="1" x14ac:dyDescent="0.25">
      <c r="A113" s="81"/>
      <c r="B113" s="35"/>
      <c r="C113" s="17"/>
      <c r="D113" s="35"/>
      <c r="E113" s="17"/>
      <c r="F113" s="35"/>
      <c r="G113" s="17"/>
      <c r="H113" s="35"/>
      <c r="I113" s="17"/>
      <c r="J113" s="35"/>
      <c r="K113" s="14"/>
      <c r="L113" s="14"/>
      <c r="M113" s="14"/>
      <c r="N113" s="14"/>
      <c r="O113" s="14"/>
      <c r="P113" s="286"/>
      <c r="Q113" s="14"/>
    </row>
    <row r="114" spans="1:18" ht="15.75" x14ac:dyDescent="0.25">
      <c r="A114" s="98" t="s">
        <v>44</v>
      </c>
      <c r="B114" s="37"/>
      <c r="C114" s="22"/>
      <c r="D114" s="37"/>
      <c r="E114" s="22"/>
      <c r="F114" s="37"/>
      <c r="G114" s="22"/>
      <c r="H114" s="37"/>
      <c r="I114" s="22"/>
      <c r="J114" s="37"/>
      <c r="K114" s="38"/>
      <c r="L114" s="38"/>
      <c r="M114" s="38"/>
      <c r="N114" s="38"/>
      <c r="O114" s="38"/>
      <c r="P114" s="289"/>
      <c r="Q114" s="38"/>
    </row>
    <row r="115" spans="1:18" ht="15.75" customHeight="1" x14ac:dyDescent="0.25">
      <c r="A115" s="75" t="s">
        <v>17</v>
      </c>
      <c r="B115" s="37"/>
      <c r="C115" s="273">
        <v>2250</v>
      </c>
      <c r="D115" s="37"/>
      <c r="E115" s="22"/>
      <c r="F115" s="37"/>
      <c r="G115" s="22"/>
      <c r="H115" s="37"/>
      <c r="I115" s="22"/>
      <c r="J115" s="37"/>
      <c r="K115" s="21">
        <f t="shared" ref="K115:K117" si="61">SUM(B115:J115)</f>
        <v>2250</v>
      </c>
      <c r="L115" s="21"/>
      <c r="M115" s="21">
        <v>2250</v>
      </c>
      <c r="N115" s="21">
        <v>2000</v>
      </c>
      <c r="O115" s="21">
        <v>0</v>
      </c>
      <c r="P115" s="287">
        <f>IFERROR((+K115-N115)/N115,0)</f>
        <v>0.125</v>
      </c>
      <c r="Q115" s="21">
        <v>494</v>
      </c>
      <c r="R115" s="24" t="s">
        <v>229</v>
      </c>
    </row>
    <row r="116" spans="1:18" ht="15.75" x14ac:dyDescent="0.25">
      <c r="A116" s="75" t="s">
        <v>227</v>
      </c>
      <c r="B116" s="37"/>
      <c r="C116" s="273"/>
      <c r="D116" s="37"/>
      <c r="E116" s="18">
        <v>14056</v>
      </c>
      <c r="F116" s="37"/>
      <c r="G116" s="22"/>
      <c r="H116" s="37"/>
      <c r="I116" s="22"/>
      <c r="J116" s="36">
        <v>844</v>
      </c>
      <c r="K116" s="21">
        <f t="shared" si="61"/>
        <v>14900</v>
      </c>
      <c r="L116" s="21"/>
      <c r="M116" s="21">
        <v>15000</v>
      </c>
      <c r="N116" s="21">
        <v>20473</v>
      </c>
      <c r="O116" s="21">
        <v>9733</v>
      </c>
      <c r="P116" s="287">
        <f>IFERROR((+K116-N116)/N116,0)</f>
        <v>-0.2722121818981097</v>
      </c>
      <c r="Q116" s="21">
        <v>11262</v>
      </c>
      <c r="R116" s="24" t="s">
        <v>449</v>
      </c>
    </row>
    <row r="117" spans="1:18" ht="15.75" customHeight="1" x14ac:dyDescent="0.25">
      <c r="A117" s="75" t="s">
        <v>45</v>
      </c>
      <c r="B117" s="37"/>
      <c r="C117" s="273">
        <v>800</v>
      </c>
      <c r="D117" s="37"/>
      <c r="E117" s="22"/>
      <c r="F117" s="37"/>
      <c r="G117" s="22"/>
      <c r="H117" s="37"/>
      <c r="I117" s="22"/>
      <c r="J117" s="37"/>
      <c r="K117" s="21">
        <f t="shared" si="61"/>
        <v>800</v>
      </c>
      <c r="L117" s="21"/>
      <c r="M117" s="21">
        <v>800</v>
      </c>
      <c r="N117" s="21">
        <v>800</v>
      </c>
      <c r="O117" s="21">
        <v>600</v>
      </c>
      <c r="P117" s="287">
        <f>IFERROR((+K117-N117)/N117,0)</f>
        <v>0</v>
      </c>
      <c r="Q117" s="21">
        <v>800</v>
      </c>
    </row>
    <row r="118" spans="1:18" ht="15.75" x14ac:dyDescent="0.25">
      <c r="A118" s="82" t="s">
        <v>47</v>
      </c>
      <c r="B118" s="101">
        <f t="shared" ref="B118:I118" si="62">SUM(B115:B117)</f>
        <v>0</v>
      </c>
      <c r="C118" s="420">
        <f t="shared" si="62"/>
        <v>3050</v>
      </c>
      <c r="D118" s="61">
        <f t="shared" si="62"/>
        <v>0</v>
      </c>
      <c r="E118" s="61">
        <f t="shared" si="62"/>
        <v>14056</v>
      </c>
      <c r="F118" s="61">
        <f t="shared" si="62"/>
        <v>0</v>
      </c>
      <c r="G118" s="61">
        <f t="shared" si="62"/>
        <v>0</v>
      </c>
      <c r="H118" s="61">
        <f t="shared" ref="H118" si="63">SUM(H115:H117)</f>
        <v>0</v>
      </c>
      <c r="I118" s="61">
        <f t="shared" si="62"/>
        <v>0</v>
      </c>
      <c r="J118" s="61">
        <f t="shared" ref="J118" si="64">SUM(J115:J117)</f>
        <v>844</v>
      </c>
      <c r="K118" s="49">
        <f t="shared" ref="K118:O118" si="65">SUM(K115:K117)</f>
        <v>17950</v>
      </c>
      <c r="L118" s="49"/>
      <c r="M118" s="49">
        <f t="shared" si="65"/>
        <v>18050</v>
      </c>
      <c r="N118" s="49">
        <f t="shared" si="65"/>
        <v>23273</v>
      </c>
      <c r="O118" s="49">
        <f t="shared" si="65"/>
        <v>10333</v>
      </c>
      <c r="P118" s="248">
        <f>IFERROR((+K118-N118)/N118,0)</f>
        <v>-0.22871997593778198</v>
      </c>
      <c r="Q118" s="49">
        <f t="shared" ref="Q118" si="66">SUM(Q115:Q117)</f>
        <v>12556</v>
      </c>
      <c r="R118" s="69"/>
    </row>
    <row r="119" spans="1:18" ht="15.75" x14ac:dyDescent="0.25">
      <c r="A119" s="99"/>
      <c r="B119" s="35"/>
      <c r="C119" s="274"/>
      <c r="D119" s="35"/>
      <c r="E119" s="17"/>
      <c r="F119" s="35"/>
      <c r="G119" s="17"/>
      <c r="H119" s="35"/>
      <c r="I119" s="17"/>
      <c r="J119" s="35"/>
      <c r="K119" s="14"/>
      <c r="L119" s="14"/>
      <c r="M119" s="14"/>
      <c r="N119" s="14"/>
      <c r="O119" s="14"/>
      <c r="P119" s="286"/>
      <c r="Q119" s="14"/>
    </row>
    <row r="120" spans="1:18" ht="15.75" x14ac:dyDescent="0.25">
      <c r="A120" s="76" t="s">
        <v>48</v>
      </c>
      <c r="B120" s="52"/>
      <c r="C120" s="275"/>
      <c r="D120" s="52"/>
      <c r="E120" s="53"/>
      <c r="F120" s="52"/>
      <c r="G120" s="53"/>
      <c r="H120" s="52"/>
      <c r="I120" s="53"/>
      <c r="J120" s="52"/>
      <c r="K120" s="54"/>
      <c r="L120" s="54"/>
      <c r="M120" s="54"/>
      <c r="N120" s="54"/>
      <c r="O120" s="54"/>
      <c r="P120" s="294"/>
      <c r="Q120" s="54"/>
    </row>
    <row r="121" spans="1:18" ht="15.75" x14ac:dyDescent="0.25">
      <c r="A121" s="75" t="s">
        <v>49</v>
      </c>
      <c r="B121" s="37"/>
      <c r="C121" s="273">
        <v>9000</v>
      </c>
      <c r="D121" s="37"/>
      <c r="E121" s="22"/>
      <c r="F121" s="37"/>
      <c r="G121" s="22"/>
      <c r="H121" s="37"/>
      <c r="I121" s="22"/>
      <c r="J121" s="37"/>
      <c r="K121" s="21">
        <f t="shared" ref="K121:K123" si="67">SUM(B121:J121)</f>
        <v>9000</v>
      </c>
      <c r="L121" s="21"/>
      <c r="M121" s="21">
        <v>9000</v>
      </c>
      <c r="N121" s="21">
        <v>8000</v>
      </c>
      <c r="O121" s="21">
        <v>7000</v>
      </c>
      <c r="P121" s="287">
        <f>IFERROR((+N121-K121)/N121,0)</f>
        <v>-0.125</v>
      </c>
      <c r="Q121" s="21">
        <v>6000</v>
      </c>
    </row>
    <row r="122" spans="1:18" ht="15.75" x14ac:dyDescent="0.25">
      <c r="A122" s="75" t="s">
        <v>50</v>
      </c>
      <c r="B122" s="37"/>
      <c r="C122" s="273">
        <v>9000</v>
      </c>
      <c r="D122" s="37"/>
      <c r="E122" s="22"/>
      <c r="F122" s="37"/>
      <c r="G122" s="22"/>
      <c r="H122" s="37"/>
      <c r="I122" s="22"/>
      <c r="J122" s="37"/>
      <c r="K122" s="21">
        <f t="shared" si="67"/>
        <v>9000</v>
      </c>
      <c r="L122" s="21"/>
      <c r="M122" s="21">
        <v>9000</v>
      </c>
      <c r="N122" s="21">
        <v>8000</v>
      </c>
      <c r="O122" s="21">
        <v>7000</v>
      </c>
      <c r="P122" s="287">
        <f>IFERROR((+N122-K122)/N122,0)</f>
        <v>-0.125</v>
      </c>
      <c r="Q122" s="21">
        <v>6000</v>
      </c>
    </row>
    <row r="123" spans="1:18" ht="15.75" x14ac:dyDescent="0.25">
      <c r="A123" s="75" t="s">
        <v>51</v>
      </c>
      <c r="B123" s="37"/>
      <c r="C123" s="273">
        <v>9000</v>
      </c>
      <c r="D123" s="37"/>
      <c r="E123" s="22"/>
      <c r="F123" s="37"/>
      <c r="G123" s="22"/>
      <c r="H123" s="37"/>
      <c r="I123" s="22"/>
      <c r="J123" s="37"/>
      <c r="K123" s="21">
        <f t="shared" si="67"/>
        <v>9000</v>
      </c>
      <c r="L123" s="21"/>
      <c r="M123" s="21">
        <v>9000</v>
      </c>
      <c r="N123" s="21">
        <v>8000</v>
      </c>
      <c r="O123" s="21">
        <v>7000</v>
      </c>
      <c r="P123" s="287">
        <f>IFERROR((+N123-K123)/N123,0)</f>
        <v>-0.125</v>
      </c>
      <c r="Q123" s="21">
        <v>6000</v>
      </c>
    </row>
    <row r="124" spans="1:18" ht="15.75" customHeight="1" x14ac:dyDescent="0.25">
      <c r="A124" s="79" t="s">
        <v>52</v>
      </c>
      <c r="B124" s="103">
        <f t="shared" ref="B124:I124" si="68">SUM(B121:B123)</f>
        <v>0</v>
      </c>
      <c r="C124" s="421">
        <f t="shared" si="68"/>
        <v>27000</v>
      </c>
      <c r="D124" s="60">
        <f t="shared" si="68"/>
        <v>0</v>
      </c>
      <c r="E124" s="60">
        <f t="shared" si="68"/>
        <v>0</v>
      </c>
      <c r="F124" s="60">
        <f t="shared" si="68"/>
        <v>0</v>
      </c>
      <c r="G124" s="60">
        <f t="shared" si="68"/>
        <v>0</v>
      </c>
      <c r="H124" s="60">
        <f t="shared" ref="H124" si="69">SUM(H121:H123)</f>
        <v>0</v>
      </c>
      <c r="I124" s="60">
        <f t="shared" si="68"/>
        <v>0</v>
      </c>
      <c r="J124" s="60">
        <f t="shared" ref="J124" si="70">SUM(J121:J123)</f>
        <v>0</v>
      </c>
      <c r="K124" s="30">
        <f>SUM(K121:K123)</f>
        <v>27000</v>
      </c>
      <c r="L124" s="30"/>
      <c r="M124" s="30">
        <f>SUM(M121:M123)</f>
        <v>27000</v>
      </c>
      <c r="N124" s="30">
        <f>SUM(N121:N123)</f>
        <v>24000</v>
      </c>
      <c r="O124" s="30">
        <f>SUM(O121:O123)</f>
        <v>21000</v>
      </c>
      <c r="P124" s="248">
        <f>IFERROR((+K124-N124)/N124,0)</f>
        <v>0.125</v>
      </c>
      <c r="Q124" s="30">
        <f>SUM(Q121:Q123)</f>
        <v>18000</v>
      </c>
      <c r="R124" s="25" t="s">
        <v>304</v>
      </c>
    </row>
    <row r="125" spans="1:18" ht="15.75" x14ac:dyDescent="0.25">
      <c r="A125" s="85"/>
      <c r="B125" s="48"/>
      <c r="C125" s="276"/>
      <c r="D125" s="48"/>
      <c r="E125" s="47"/>
      <c r="F125" s="48"/>
      <c r="G125" s="47"/>
      <c r="H125" s="48"/>
      <c r="I125" s="47"/>
      <c r="J125" s="48"/>
      <c r="K125" s="46"/>
      <c r="L125" s="46"/>
      <c r="M125" s="46"/>
      <c r="N125" s="46"/>
      <c r="O125" s="46"/>
      <c r="P125" s="290"/>
      <c r="Q125" s="46"/>
    </row>
    <row r="126" spans="1:18" ht="15.75" x14ac:dyDescent="0.25">
      <c r="A126" s="76" t="s">
        <v>53</v>
      </c>
      <c r="B126" s="52"/>
      <c r="C126" s="277"/>
      <c r="D126" s="52"/>
      <c r="E126" s="53"/>
      <c r="F126" s="52"/>
      <c r="G126" s="53"/>
      <c r="H126" s="52"/>
      <c r="I126" s="53"/>
      <c r="J126" s="52"/>
      <c r="K126" s="54"/>
      <c r="L126" s="54"/>
      <c r="M126" s="54"/>
      <c r="N126" s="54"/>
      <c r="O126" s="54"/>
      <c r="P126" s="294"/>
      <c r="Q126" s="54"/>
    </row>
    <row r="127" spans="1:18" ht="15.75" x14ac:dyDescent="0.25">
      <c r="A127" s="75" t="s">
        <v>54</v>
      </c>
      <c r="B127" s="37"/>
      <c r="C127" s="273">
        <v>1400</v>
      </c>
      <c r="D127" s="37"/>
      <c r="E127" s="22"/>
      <c r="F127" s="37"/>
      <c r="G127" s="22"/>
      <c r="H127" s="37"/>
      <c r="I127" s="22"/>
      <c r="J127" s="37"/>
      <c r="K127" s="21">
        <v>1400</v>
      </c>
      <c r="L127" s="21"/>
      <c r="M127" s="21">
        <v>1400</v>
      </c>
      <c r="N127" s="21">
        <v>0</v>
      </c>
      <c r="O127" s="21">
        <v>0</v>
      </c>
      <c r="P127" s="287">
        <f>IFERROR((+K127-N127)/N127,0)</f>
        <v>0</v>
      </c>
      <c r="Q127" s="21">
        <v>0</v>
      </c>
    </row>
    <row r="128" spans="1:18" ht="15.75" x14ac:dyDescent="0.25">
      <c r="A128" s="79" t="s">
        <v>55</v>
      </c>
      <c r="B128" s="103">
        <f t="shared" ref="B128:I128" si="71">SUM(B127:B127)</f>
        <v>0</v>
      </c>
      <c r="C128" s="421">
        <f t="shared" si="71"/>
        <v>1400</v>
      </c>
      <c r="D128" s="60">
        <f t="shared" si="71"/>
        <v>0</v>
      </c>
      <c r="E128" s="60">
        <f t="shared" si="71"/>
        <v>0</v>
      </c>
      <c r="F128" s="60">
        <f t="shared" si="71"/>
        <v>0</v>
      </c>
      <c r="G128" s="60">
        <f t="shared" si="71"/>
        <v>0</v>
      </c>
      <c r="H128" s="60">
        <f t="shared" ref="H128" si="72">SUM(H127:H127)</f>
        <v>0</v>
      </c>
      <c r="I128" s="60">
        <f t="shared" si="71"/>
        <v>0</v>
      </c>
      <c r="J128" s="60">
        <f t="shared" ref="J128" si="73">SUM(J127:J127)</f>
        <v>0</v>
      </c>
      <c r="K128" s="30">
        <f t="shared" ref="K128:O128" si="74">SUM(K127:K127)</f>
        <v>1400</v>
      </c>
      <c r="L128" s="30">
        <f t="shared" si="74"/>
        <v>0</v>
      </c>
      <c r="M128" s="30">
        <f t="shared" si="74"/>
        <v>1400</v>
      </c>
      <c r="N128" s="30">
        <f t="shared" si="74"/>
        <v>0</v>
      </c>
      <c r="O128" s="30">
        <f t="shared" si="74"/>
        <v>0</v>
      </c>
      <c r="P128" s="248">
        <f>IFERROR((+K128-N128)/N128,0)</f>
        <v>0</v>
      </c>
      <c r="Q128" s="30">
        <f t="shared" ref="Q128" si="75">SUM(Q127:Q127)</f>
        <v>0</v>
      </c>
      <c r="R128" s="69"/>
    </row>
    <row r="129" spans="1:18" ht="15.75" x14ac:dyDescent="0.25">
      <c r="A129" s="80"/>
      <c r="B129" s="37"/>
      <c r="C129" s="22"/>
      <c r="D129" s="37"/>
      <c r="E129" s="22"/>
      <c r="F129" s="37"/>
      <c r="G129" s="22"/>
      <c r="H129" s="37"/>
      <c r="I129" s="22"/>
      <c r="J129" s="37"/>
      <c r="K129" s="38"/>
      <c r="L129" s="38"/>
      <c r="M129" s="38"/>
      <c r="N129" s="38"/>
      <c r="O129" s="38"/>
      <c r="P129" s="289"/>
      <c r="Q129" s="38"/>
    </row>
    <row r="130" spans="1:18" ht="24.95" customHeight="1" x14ac:dyDescent="0.25">
      <c r="A130" s="76" t="s">
        <v>19</v>
      </c>
      <c r="B130" s="37"/>
      <c r="C130" s="22"/>
      <c r="D130" s="37"/>
      <c r="E130" s="22"/>
      <c r="F130" s="37"/>
      <c r="G130" s="22"/>
      <c r="H130" s="37"/>
      <c r="I130" s="22"/>
      <c r="J130" s="37"/>
      <c r="K130" s="38"/>
      <c r="L130" s="38"/>
      <c r="M130" s="38"/>
      <c r="N130" s="38"/>
      <c r="O130" s="38"/>
      <c r="P130" s="289"/>
      <c r="Q130" s="38"/>
    </row>
    <row r="131" spans="1:18" ht="15.75" x14ac:dyDescent="0.25">
      <c r="A131" s="80" t="s">
        <v>382</v>
      </c>
      <c r="B131" s="37"/>
      <c r="C131" s="22"/>
      <c r="D131" s="37">
        <f>43591-38168</f>
        <v>5423</v>
      </c>
      <c r="E131" s="22"/>
      <c r="F131" s="37">
        <v>38168</v>
      </c>
      <c r="G131" s="22"/>
      <c r="H131" s="37"/>
      <c r="I131" s="22"/>
      <c r="J131" s="37"/>
      <c r="K131" s="21">
        <f t="shared" ref="K131:K137" si="76">SUM(B131:J131)</f>
        <v>43591</v>
      </c>
      <c r="L131" s="21"/>
      <c r="M131" s="21">
        <v>81552</v>
      </c>
      <c r="N131" s="21">
        <v>0</v>
      </c>
      <c r="O131" s="21"/>
      <c r="P131" s="287">
        <f t="shared" ref="P131:P138" si="77">IFERROR((+K131-N131)/N131,0)</f>
        <v>0</v>
      </c>
      <c r="Q131" s="21">
        <v>81552</v>
      </c>
    </row>
    <row r="132" spans="1:18" ht="15.75" x14ac:dyDescent="0.25">
      <c r="A132" s="80" t="s">
        <v>383</v>
      </c>
      <c r="B132" s="37"/>
      <c r="C132" s="22"/>
      <c r="D132" s="37">
        <v>40000</v>
      </c>
      <c r="E132" s="22"/>
      <c r="F132" s="37"/>
      <c r="G132" s="22"/>
      <c r="H132" s="37"/>
      <c r="I132" s="22"/>
      <c r="J132" s="37"/>
      <c r="K132" s="21">
        <f t="shared" si="76"/>
        <v>40000</v>
      </c>
      <c r="L132" s="21"/>
      <c r="M132" s="21">
        <v>0</v>
      </c>
      <c r="N132" s="21">
        <v>0</v>
      </c>
      <c r="O132" s="21"/>
      <c r="P132" s="287">
        <f t="shared" si="77"/>
        <v>0</v>
      </c>
      <c r="Q132" s="21">
        <v>0</v>
      </c>
    </row>
    <row r="133" spans="1:18" ht="15.75" x14ac:dyDescent="0.25">
      <c r="A133" s="80" t="s">
        <v>384</v>
      </c>
      <c r="B133" s="37"/>
      <c r="C133" s="22"/>
      <c r="D133" s="37">
        <f>7105+1254+28795</f>
        <v>37154</v>
      </c>
      <c r="E133" s="22"/>
      <c r="F133" s="37"/>
      <c r="G133" s="22"/>
      <c r="H133" s="37"/>
      <c r="I133" s="22"/>
      <c r="J133" s="37"/>
      <c r="K133" s="21">
        <f t="shared" si="76"/>
        <v>37154</v>
      </c>
      <c r="L133" s="21"/>
      <c r="M133" s="21">
        <v>21248</v>
      </c>
      <c r="N133" s="21">
        <v>0</v>
      </c>
      <c r="O133" s="21"/>
      <c r="P133" s="287">
        <f t="shared" si="77"/>
        <v>0</v>
      </c>
      <c r="Q133" s="21">
        <v>34770</v>
      </c>
    </row>
    <row r="134" spans="1:18" ht="15.75" customHeight="1" x14ac:dyDescent="0.25">
      <c r="A134" s="80" t="s">
        <v>385</v>
      </c>
      <c r="B134" s="37"/>
      <c r="C134" s="22"/>
      <c r="D134" s="37">
        <v>6395</v>
      </c>
      <c r="E134" s="22"/>
      <c r="F134" s="37"/>
      <c r="G134" s="22"/>
      <c r="H134" s="37"/>
      <c r="I134" s="22"/>
      <c r="J134" s="37"/>
      <c r="K134" s="21">
        <f t="shared" si="76"/>
        <v>6395</v>
      </c>
      <c r="L134" s="21"/>
      <c r="M134" s="21">
        <v>6239</v>
      </c>
      <c r="N134" s="21">
        <v>0</v>
      </c>
      <c r="O134" s="21"/>
      <c r="P134" s="287">
        <f t="shared" si="77"/>
        <v>0</v>
      </c>
      <c r="Q134" s="21">
        <v>6239</v>
      </c>
    </row>
    <row r="135" spans="1:18" ht="15.75" x14ac:dyDescent="0.25">
      <c r="A135" s="80" t="s">
        <v>386</v>
      </c>
      <c r="B135" s="37"/>
      <c r="C135" s="22"/>
      <c r="D135" s="37">
        <v>1000</v>
      </c>
      <c r="E135" s="22"/>
      <c r="F135" s="37"/>
      <c r="G135" s="22"/>
      <c r="H135" s="37"/>
      <c r="I135" s="22"/>
      <c r="J135" s="37"/>
      <c r="K135" s="21">
        <f t="shared" si="76"/>
        <v>1000</v>
      </c>
      <c r="L135" s="21"/>
      <c r="M135" s="21">
        <v>1000</v>
      </c>
      <c r="N135" s="21">
        <v>0</v>
      </c>
      <c r="O135" s="21"/>
      <c r="P135" s="287">
        <f t="shared" si="77"/>
        <v>0</v>
      </c>
      <c r="Q135" s="21">
        <v>1000</v>
      </c>
    </row>
    <row r="136" spans="1:18" ht="15.75" x14ac:dyDescent="0.25">
      <c r="A136" s="80" t="s">
        <v>387</v>
      </c>
      <c r="B136" s="37"/>
      <c r="C136" s="22"/>
      <c r="D136" s="37">
        <v>5424</v>
      </c>
      <c r="E136" s="22"/>
      <c r="F136" s="37"/>
      <c r="G136" s="22"/>
      <c r="H136" s="37"/>
      <c r="I136" s="22"/>
      <c r="J136" s="37"/>
      <c r="K136" s="21">
        <f t="shared" si="76"/>
        <v>5424</v>
      </c>
      <c r="L136" s="21"/>
      <c r="M136" s="21">
        <v>4425</v>
      </c>
      <c r="N136" s="21">
        <v>0</v>
      </c>
      <c r="O136" s="21"/>
      <c r="P136" s="287">
        <f t="shared" si="77"/>
        <v>0</v>
      </c>
      <c r="Q136" s="21">
        <v>5415</v>
      </c>
    </row>
    <row r="137" spans="1:18" ht="15.75" x14ac:dyDescent="0.25">
      <c r="A137" s="80" t="s">
        <v>388</v>
      </c>
      <c r="B137" s="37"/>
      <c r="C137" s="22"/>
      <c r="D137" s="37">
        <v>4000</v>
      </c>
      <c r="E137" s="22"/>
      <c r="F137" s="37"/>
      <c r="G137" s="22"/>
      <c r="H137" s="37"/>
      <c r="I137" s="22"/>
      <c r="J137" s="37"/>
      <c r="K137" s="21">
        <f t="shared" si="76"/>
        <v>4000</v>
      </c>
      <c r="L137" s="21"/>
      <c r="M137" s="21">
        <v>4000</v>
      </c>
      <c r="N137" s="21">
        <v>0</v>
      </c>
      <c r="O137" s="21"/>
      <c r="P137" s="287">
        <f t="shared" si="77"/>
        <v>0</v>
      </c>
      <c r="Q137" s="21">
        <v>1415</v>
      </c>
    </row>
    <row r="138" spans="1:18" ht="15.75" x14ac:dyDescent="0.25">
      <c r="A138" s="79" t="s">
        <v>397</v>
      </c>
      <c r="B138" s="60">
        <f t="shared" ref="B138:O138" si="78">SUM(B131:B137)</f>
        <v>0</v>
      </c>
      <c r="C138" s="60">
        <f t="shared" si="78"/>
        <v>0</v>
      </c>
      <c r="D138" s="60">
        <f t="shared" si="78"/>
        <v>99396</v>
      </c>
      <c r="E138" s="60">
        <f t="shared" si="78"/>
        <v>0</v>
      </c>
      <c r="F138" s="60">
        <f t="shared" si="78"/>
        <v>38168</v>
      </c>
      <c r="G138" s="60">
        <f t="shared" si="78"/>
        <v>0</v>
      </c>
      <c r="H138" s="60">
        <f t="shared" si="78"/>
        <v>0</v>
      </c>
      <c r="I138" s="60">
        <f t="shared" si="78"/>
        <v>0</v>
      </c>
      <c r="J138" s="60">
        <f t="shared" si="78"/>
        <v>0</v>
      </c>
      <c r="K138" s="30">
        <f t="shared" si="78"/>
        <v>137564</v>
      </c>
      <c r="L138" s="30">
        <f t="shared" si="78"/>
        <v>0</v>
      </c>
      <c r="M138" s="30">
        <f t="shared" si="78"/>
        <v>118464</v>
      </c>
      <c r="N138" s="30">
        <f t="shared" si="78"/>
        <v>0</v>
      </c>
      <c r="O138" s="30">
        <f t="shared" si="78"/>
        <v>0</v>
      </c>
      <c r="P138" s="248">
        <f t="shared" si="77"/>
        <v>0</v>
      </c>
      <c r="Q138" s="30">
        <f>SUM(Q131:Q137)</f>
        <v>130391</v>
      </c>
    </row>
    <row r="139" spans="1:18" ht="15.75" x14ac:dyDescent="0.25">
      <c r="A139" s="75"/>
      <c r="B139" s="35"/>
      <c r="C139" s="17"/>
      <c r="D139" s="35"/>
      <c r="E139" s="17"/>
      <c r="F139" s="35"/>
      <c r="G139" s="17"/>
      <c r="H139" s="35"/>
      <c r="I139" s="17"/>
      <c r="J139" s="35"/>
      <c r="K139" s="14"/>
      <c r="L139" s="14"/>
      <c r="M139" s="14"/>
      <c r="N139" s="14"/>
      <c r="O139" s="14"/>
      <c r="P139" s="286"/>
      <c r="Q139" s="14"/>
    </row>
    <row r="140" spans="1:18" ht="15.75" x14ac:dyDescent="0.25">
      <c r="A140" s="75"/>
      <c r="B140" s="35"/>
      <c r="C140" s="17"/>
      <c r="D140" s="35"/>
      <c r="E140" s="17"/>
      <c r="F140" s="35"/>
      <c r="G140" s="17"/>
      <c r="H140" s="35"/>
      <c r="I140" s="17"/>
      <c r="J140" s="35"/>
      <c r="K140" s="14"/>
      <c r="L140" s="14"/>
      <c r="M140" s="14"/>
      <c r="N140" s="14"/>
      <c r="O140" s="14"/>
      <c r="P140" s="286"/>
      <c r="Q140" s="14"/>
    </row>
    <row r="141" spans="1:18" ht="15.75" x14ac:dyDescent="0.25">
      <c r="A141" s="75" t="s">
        <v>123</v>
      </c>
      <c r="B141" s="37"/>
      <c r="C141" s="22"/>
      <c r="D141" s="37">
        <f>22891-11446</f>
        <v>11445</v>
      </c>
      <c r="E141" s="22"/>
      <c r="F141" s="37">
        <v>11446</v>
      </c>
      <c r="G141" s="22"/>
      <c r="H141" s="37"/>
      <c r="I141" s="22"/>
      <c r="J141" s="37"/>
      <c r="K141" s="21">
        <f>SUM(B141:J141)</f>
        <v>22891</v>
      </c>
      <c r="L141" s="21"/>
      <c r="M141" s="21">
        <v>22333</v>
      </c>
      <c r="N141" s="21">
        <v>20970</v>
      </c>
      <c r="O141" s="21">
        <v>15728</v>
      </c>
      <c r="P141" s="287">
        <f t="shared" ref="P141:P146" si="79">IFERROR((+K141-N141)/N141,0)</f>
        <v>9.1607057701478298E-2</v>
      </c>
      <c r="Q141" s="21">
        <v>22333</v>
      </c>
    </row>
    <row r="142" spans="1:18" ht="15.75" x14ac:dyDescent="0.25">
      <c r="A142" s="75" t="s">
        <v>124</v>
      </c>
      <c r="B142" s="37"/>
      <c r="C142" s="22"/>
      <c r="D142" s="37"/>
      <c r="E142" s="22"/>
      <c r="F142" s="37"/>
      <c r="G142" s="22"/>
      <c r="H142" s="37"/>
      <c r="I142" s="22"/>
      <c r="J142" s="37"/>
      <c r="K142" s="21">
        <f>SUM(B142:J142)</f>
        <v>0</v>
      </c>
      <c r="L142" s="21"/>
      <c r="M142" s="21">
        <v>0</v>
      </c>
      <c r="N142" s="21">
        <v>0</v>
      </c>
      <c r="O142" s="21">
        <v>0</v>
      </c>
      <c r="P142" s="287">
        <f t="shared" si="79"/>
        <v>0</v>
      </c>
      <c r="Q142" s="21">
        <v>0</v>
      </c>
      <c r="R142" s="25"/>
    </row>
    <row r="143" spans="1:18" ht="15.75" x14ac:dyDescent="0.25">
      <c r="A143" s="75" t="s">
        <v>125</v>
      </c>
      <c r="B143" s="37"/>
      <c r="C143" s="22"/>
      <c r="D143" s="37">
        <v>1751</v>
      </c>
      <c r="E143" s="22"/>
      <c r="F143" s="37"/>
      <c r="G143" s="22"/>
      <c r="H143" s="37"/>
      <c r="I143" s="22"/>
      <c r="J143" s="37"/>
      <c r="K143" s="21">
        <f>SUM(B143:J143)</f>
        <v>1751</v>
      </c>
      <c r="L143" s="21"/>
      <c r="M143" s="21">
        <v>1709</v>
      </c>
      <c r="N143" s="21">
        <v>1604</v>
      </c>
      <c r="O143" s="21">
        <v>1203</v>
      </c>
      <c r="P143" s="287">
        <f t="shared" si="79"/>
        <v>9.1645885286783038E-2</v>
      </c>
      <c r="Q143" s="21">
        <v>1708</v>
      </c>
    </row>
    <row r="144" spans="1:18" ht="15.75" x14ac:dyDescent="0.25">
      <c r="A144" s="75" t="s">
        <v>141</v>
      </c>
      <c r="B144" s="37"/>
      <c r="C144" s="22"/>
      <c r="D144" s="37">
        <v>500</v>
      </c>
      <c r="E144" s="22"/>
      <c r="F144" s="37"/>
      <c r="G144" s="22"/>
      <c r="H144" s="37"/>
      <c r="I144" s="22"/>
      <c r="J144" s="37"/>
      <c r="K144" s="21">
        <f>SUM(B144:J144)</f>
        <v>500</v>
      </c>
      <c r="L144" s="21"/>
      <c r="M144" s="21">
        <v>500</v>
      </c>
      <c r="N144" s="21">
        <v>0</v>
      </c>
      <c r="O144" s="21">
        <v>0</v>
      </c>
      <c r="P144" s="287">
        <f t="shared" si="79"/>
        <v>0</v>
      </c>
      <c r="Q144" s="21">
        <v>0</v>
      </c>
    </row>
    <row r="145" spans="1:18" ht="15.75" customHeight="1" x14ac:dyDescent="0.25">
      <c r="A145" s="75" t="s">
        <v>126</v>
      </c>
      <c r="B145" s="37"/>
      <c r="C145" s="22"/>
      <c r="D145" s="37">
        <f>1750+1000</f>
        <v>2750</v>
      </c>
      <c r="E145" s="22"/>
      <c r="F145" s="35"/>
      <c r="G145" s="22"/>
      <c r="H145" s="35"/>
      <c r="I145" s="22"/>
      <c r="J145" s="35"/>
      <c r="K145" s="21">
        <f>SUM(B145:J145)</f>
        <v>2750</v>
      </c>
      <c r="L145" s="21"/>
      <c r="M145" s="21">
        <v>2750</v>
      </c>
      <c r="N145" s="21">
        <v>359</v>
      </c>
      <c r="O145" s="21">
        <v>195</v>
      </c>
      <c r="P145" s="287">
        <f t="shared" si="79"/>
        <v>6.6601671309192199</v>
      </c>
      <c r="Q145" s="21">
        <v>783</v>
      </c>
    </row>
    <row r="146" spans="1:18" ht="15.75" x14ac:dyDescent="0.25">
      <c r="A146" s="79" t="s">
        <v>127</v>
      </c>
      <c r="B146" s="60">
        <f t="shared" ref="B146:I146" si="80">SUM(B141:B145)</f>
        <v>0</v>
      </c>
      <c r="C146" s="60">
        <f t="shared" si="80"/>
        <v>0</v>
      </c>
      <c r="D146" s="86">
        <f t="shared" si="80"/>
        <v>16446</v>
      </c>
      <c r="E146" s="60">
        <f t="shared" si="80"/>
        <v>0</v>
      </c>
      <c r="F146" s="60">
        <f t="shared" si="80"/>
        <v>11446</v>
      </c>
      <c r="G146" s="60">
        <f t="shared" si="80"/>
        <v>0</v>
      </c>
      <c r="H146" s="60">
        <f t="shared" ref="H146" si="81">SUM(H141:H145)</f>
        <v>0</v>
      </c>
      <c r="I146" s="60">
        <f t="shared" si="80"/>
        <v>0</v>
      </c>
      <c r="J146" s="60">
        <f t="shared" ref="J146" si="82">SUM(J141:J145)</f>
        <v>0</v>
      </c>
      <c r="K146" s="30">
        <f t="shared" ref="K146:L146" si="83">SUM(K141:K145)</f>
        <v>27892</v>
      </c>
      <c r="L146" s="30">
        <f t="shared" si="83"/>
        <v>0</v>
      </c>
      <c r="M146" s="30">
        <f t="shared" ref="M146:N146" si="84">SUM(M141:M145)</f>
        <v>27292</v>
      </c>
      <c r="N146" s="30">
        <f t="shared" si="84"/>
        <v>22933</v>
      </c>
      <c r="O146" s="30">
        <f t="shared" ref="O146" si="85">SUM(O141:O145)</f>
        <v>17126</v>
      </c>
      <c r="P146" s="248">
        <f t="shared" si="79"/>
        <v>0.21623860811930407</v>
      </c>
      <c r="Q146" s="30">
        <f t="shared" ref="Q146" si="86">SUM(Q141:Q145)</f>
        <v>24824</v>
      </c>
    </row>
    <row r="147" spans="1:18" ht="15.75" x14ac:dyDescent="0.25">
      <c r="A147" s="80"/>
      <c r="B147" s="37"/>
      <c r="C147" s="22"/>
      <c r="D147" s="37"/>
      <c r="E147" s="22"/>
      <c r="F147" s="37"/>
      <c r="G147" s="22"/>
      <c r="H147" s="37"/>
      <c r="I147" s="22"/>
      <c r="J147" s="37"/>
      <c r="K147" s="38"/>
      <c r="L147" s="38"/>
      <c r="M147" s="38"/>
      <c r="N147" s="38"/>
      <c r="O147" s="38"/>
      <c r="P147" s="289"/>
      <c r="Q147" s="38"/>
    </row>
    <row r="148" spans="1:18" ht="15.75" x14ac:dyDescent="0.25">
      <c r="A148" s="79" t="s">
        <v>20</v>
      </c>
      <c r="B148" s="61">
        <f>+B138+B146</f>
        <v>0</v>
      </c>
      <c r="C148" s="61">
        <f t="shared" ref="C148:J148" si="87">+C138+C146</f>
        <v>0</v>
      </c>
      <c r="D148" s="61">
        <f t="shared" si="87"/>
        <v>115842</v>
      </c>
      <c r="E148" s="61">
        <f t="shared" si="87"/>
        <v>0</v>
      </c>
      <c r="F148" s="61">
        <f t="shared" si="87"/>
        <v>49614</v>
      </c>
      <c r="G148" s="61">
        <f t="shared" si="87"/>
        <v>0</v>
      </c>
      <c r="H148" s="61">
        <f t="shared" si="87"/>
        <v>0</v>
      </c>
      <c r="I148" s="61">
        <f t="shared" si="87"/>
        <v>0</v>
      </c>
      <c r="J148" s="61">
        <f t="shared" si="87"/>
        <v>0</v>
      </c>
      <c r="K148" s="49">
        <f>+K138+K146</f>
        <v>165456</v>
      </c>
      <c r="L148" s="49">
        <f>+L138+L146</f>
        <v>0</v>
      </c>
      <c r="M148" s="49">
        <f t="shared" ref="M148" si="88">+M138+M146</f>
        <v>145756</v>
      </c>
      <c r="N148" s="49">
        <f t="shared" ref="N148" si="89">+N138+N146</f>
        <v>22933</v>
      </c>
      <c r="O148" s="49" t="e">
        <f>+O138+#REF!+O146</f>
        <v>#REF!</v>
      </c>
      <c r="P148" s="248">
        <f>IFERROR((+K148-N148)/N148,0)</f>
        <v>6.2147560284306458</v>
      </c>
      <c r="Q148" s="49">
        <f t="shared" ref="Q148" si="90">+Q138+Q146</f>
        <v>155215</v>
      </c>
    </row>
    <row r="149" spans="1:18" ht="15.75" x14ac:dyDescent="0.25">
      <c r="A149" s="81"/>
      <c r="B149" s="35"/>
      <c r="C149" s="17"/>
      <c r="D149" s="35"/>
      <c r="E149" s="17"/>
      <c r="F149" s="35"/>
      <c r="G149" s="17"/>
      <c r="H149" s="35"/>
      <c r="I149" s="17"/>
      <c r="J149" s="35"/>
      <c r="K149" s="14"/>
      <c r="L149" s="14"/>
      <c r="M149" s="14"/>
      <c r="N149" s="14"/>
      <c r="O149" s="14"/>
      <c r="P149" s="286"/>
      <c r="Q149" s="14"/>
    </row>
    <row r="150" spans="1:18" ht="15.75" x14ac:dyDescent="0.25">
      <c r="A150" s="79" t="s">
        <v>56</v>
      </c>
      <c r="B150" s="60">
        <f t="shared" ref="B150:K150" si="91">+B118+B124+B128+B148</f>
        <v>0</v>
      </c>
      <c r="C150" s="60">
        <f t="shared" si="91"/>
        <v>31450</v>
      </c>
      <c r="D150" s="60">
        <f t="shared" si="91"/>
        <v>115842</v>
      </c>
      <c r="E150" s="60">
        <f t="shared" si="91"/>
        <v>14056</v>
      </c>
      <c r="F150" s="60">
        <f t="shared" si="91"/>
        <v>49614</v>
      </c>
      <c r="G150" s="60">
        <f t="shared" si="91"/>
        <v>0</v>
      </c>
      <c r="H150" s="60">
        <f t="shared" si="91"/>
        <v>0</v>
      </c>
      <c r="I150" s="60">
        <f t="shared" si="91"/>
        <v>0</v>
      </c>
      <c r="J150" s="60">
        <f t="shared" si="91"/>
        <v>844</v>
      </c>
      <c r="K150" s="30">
        <f t="shared" si="91"/>
        <v>211806</v>
      </c>
      <c r="L150" s="30"/>
      <c r="M150" s="30">
        <f>+M118+M124+M128+M148</f>
        <v>192206</v>
      </c>
      <c r="N150" s="30">
        <f>+N118+N124+N128+N148</f>
        <v>70206</v>
      </c>
      <c r="O150" s="30" t="e">
        <f>+O118+O124+O128+O148</f>
        <v>#REF!</v>
      </c>
      <c r="P150" s="248">
        <f>IFERROR((+K150-N150)/N150,0)</f>
        <v>2.0169216306298607</v>
      </c>
      <c r="Q150" s="30">
        <f>+Q118+Q124+Q128+Q148</f>
        <v>185771</v>
      </c>
    </row>
    <row r="151" spans="1:18" ht="15.75" x14ac:dyDescent="0.25">
      <c r="A151" s="85"/>
      <c r="B151" s="48"/>
      <c r="C151" s="47"/>
      <c r="D151" s="48"/>
      <c r="E151" s="47"/>
      <c r="F151" s="48"/>
      <c r="G151" s="47"/>
      <c r="H151" s="48"/>
      <c r="I151" s="47"/>
      <c r="J151" s="48"/>
      <c r="K151" s="46"/>
      <c r="L151" s="46"/>
      <c r="M151" s="46"/>
      <c r="N151" s="46"/>
      <c r="O151" s="46"/>
      <c r="P151" s="290"/>
      <c r="Q151" s="46"/>
    </row>
    <row r="152" spans="1:18" ht="15.75" customHeight="1" x14ac:dyDescent="0.25">
      <c r="A152" s="81"/>
      <c r="B152" s="35"/>
      <c r="C152" s="17"/>
      <c r="D152" s="35"/>
      <c r="E152" s="17"/>
      <c r="F152" s="35"/>
      <c r="G152" s="17"/>
      <c r="H152" s="35"/>
      <c r="I152" s="17"/>
      <c r="J152" s="35"/>
      <c r="K152" s="14"/>
      <c r="L152" s="14"/>
      <c r="M152" s="14"/>
      <c r="N152" s="14"/>
      <c r="O152" s="14"/>
      <c r="P152" s="286"/>
      <c r="Q152" s="14"/>
    </row>
    <row r="153" spans="1:18" ht="15.75" x14ac:dyDescent="0.25">
      <c r="A153" s="98" t="s">
        <v>57</v>
      </c>
      <c r="B153" s="37"/>
      <c r="C153" s="22"/>
      <c r="D153" s="37"/>
      <c r="E153" s="22"/>
      <c r="F153" s="37"/>
      <c r="G153" s="22"/>
      <c r="H153" s="37"/>
      <c r="I153" s="22"/>
      <c r="J153" s="37"/>
      <c r="K153" s="38"/>
      <c r="L153" s="38"/>
      <c r="M153" s="38"/>
      <c r="N153" s="38"/>
      <c r="O153" s="38"/>
      <c r="P153" s="289"/>
      <c r="Q153" s="38"/>
    </row>
    <row r="154" spans="1:18" ht="15.75" customHeight="1" x14ac:dyDescent="0.25">
      <c r="A154" s="75" t="s">
        <v>58</v>
      </c>
      <c r="B154" s="37">
        <v>109425</v>
      </c>
      <c r="C154" s="22"/>
      <c r="D154" s="37"/>
      <c r="E154" s="22"/>
      <c r="F154" s="37"/>
      <c r="G154" s="22"/>
      <c r="H154" s="37"/>
      <c r="I154" s="22"/>
      <c r="J154" s="37"/>
      <c r="K154" s="21">
        <f t="shared" ref="K154:K155" si="92">SUM(B154:J154)</f>
        <v>109425</v>
      </c>
      <c r="L154" s="21"/>
      <c r="M154" s="21">
        <v>109137</v>
      </c>
      <c r="N154" s="21">
        <v>110576.09999999999</v>
      </c>
      <c r="O154" s="21">
        <v>82932</v>
      </c>
      <c r="P154" s="287">
        <f>IFERROR((+K154-N154)/N154,0)</f>
        <v>-1.0410025312883989E-2</v>
      </c>
      <c r="Q154" s="21">
        <v>109992</v>
      </c>
      <c r="R154" s="24" t="s">
        <v>415</v>
      </c>
    </row>
    <row r="155" spans="1:18" ht="15.75" x14ac:dyDescent="0.25">
      <c r="A155" s="75" t="s">
        <v>59</v>
      </c>
      <c r="B155" s="37">
        <v>14577</v>
      </c>
      <c r="C155" s="22"/>
      <c r="D155" s="37"/>
      <c r="E155" s="22"/>
      <c r="F155" s="37"/>
      <c r="G155" s="22"/>
      <c r="H155" s="37"/>
      <c r="I155" s="22"/>
      <c r="J155" s="37"/>
      <c r="K155" s="21">
        <f t="shared" si="92"/>
        <v>14577</v>
      </c>
      <c r="L155" s="21"/>
      <c r="M155" s="21">
        <v>11578</v>
      </c>
      <c r="N155" s="21">
        <v>12909.9</v>
      </c>
      <c r="O155" s="21">
        <v>9682</v>
      </c>
      <c r="P155" s="287">
        <f>IFERROR((+K155-N155)/N155,0)</f>
        <v>0.12913345572002885</v>
      </c>
      <c r="Q155" s="21">
        <v>11624</v>
      </c>
      <c r="R155" s="24" t="s">
        <v>416</v>
      </c>
    </row>
    <row r="156" spans="1:18" ht="24" customHeight="1" x14ac:dyDescent="0.25">
      <c r="A156" s="82" t="s">
        <v>60</v>
      </c>
      <c r="B156" s="61">
        <f t="shared" ref="B156:I156" si="93">SUM(B154:B155)</f>
        <v>124002</v>
      </c>
      <c r="C156" s="61">
        <f t="shared" si="93"/>
        <v>0</v>
      </c>
      <c r="D156" s="61">
        <f t="shared" si="93"/>
        <v>0</v>
      </c>
      <c r="E156" s="61">
        <f t="shared" si="93"/>
        <v>0</v>
      </c>
      <c r="F156" s="61">
        <f t="shared" si="93"/>
        <v>0</v>
      </c>
      <c r="G156" s="61">
        <f t="shared" si="93"/>
        <v>0</v>
      </c>
      <c r="H156" s="61">
        <f t="shared" ref="H156" si="94">SUM(H154:H155)</f>
        <v>0</v>
      </c>
      <c r="I156" s="61">
        <f t="shared" si="93"/>
        <v>0</v>
      </c>
      <c r="J156" s="61">
        <f t="shared" ref="J156" si="95">SUM(J154:J155)</f>
        <v>0</v>
      </c>
      <c r="K156" s="49">
        <f t="shared" ref="K156:O156" si="96">SUM(K154:K155)</f>
        <v>124002</v>
      </c>
      <c r="L156" s="49"/>
      <c r="M156" s="49">
        <f t="shared" si="96"/>
        <v>120715</v>
      </c>
      <c r="N156" s="49">
        <f t="shared" si="96"/>
        <v>123485.99999999999</v>
      </c>
      <c r="O156" s="49">
        <f t="shared" si="96"/>
        <v>92614</v>
      </c>
      <c r="P156" s="248">
        <f>IFERROR((+K156-N156)/N156,0)</f>
        <v>4.1786113405569425E-3</v>
      </c>
      <c r="Q156" s="49">
        <f t="shared" ref="Q156" si="97">SUM(Q154:Q155)</f>
        <v>121616</v>
      </c>
      <c r="R156" s="25"/>
    </row>
    <row r="157" spans="1:18" ht="15.75" x14ac:dyDescent="0.25">
      <c r="A157" s="81"/>
      <c r="B157" s="35"/>
      <c r="C157" s="17"/>
      <c r="D157" s="35"/>
      <c r="E157" s="17"/>
      <c r="F157" s="35"/>
      <c r="G157" s="17"/>
      <c r="H157" s="35"/>
      <c r="I157" s="17"/>
      <c r="J157" s="35"/>
      <c r="K157" s="14"/>
      <c r="L157" s="14"/>
      <c r="M157" s="14"/>
      <c r="N157" s="14"/>
      <c r="O157" s="14"/>
      <c r="P157" s="286"/>
      <c r="Q157" s="14"/>
      <c r="R157" s="25"/>
    </row>
    <row r="158" spans="1:18" ht="15.75" x14ac:dyDescent="0.25">
      <c r="A158" s="76" t="s">
        <v>61</v>
      </c>
      <c r="B158" s="34"/>
      <c r="C158" s="15"/>
      <c r="D158" s="34"/>
      <c r="E158" s="15"/>
      <c r="F158" s="34"/>
      <c r="G158" s="15"/>
      <c r="H158" s="34"/>
      <c r="I158" s="100"/>
      <c r="J158" s="34"/>
      <c r="K158" s="16"/>
      <c r="L158" s="16"/>
      <c r="M158" s="16"/>
      <c r="N158" s="16"/>
      <c r="O158" s="16"/>
      <c r="P158" s="296"/>
      <c r="Q158" s="16"/>
      <c r="R158" s="25"/>
    </row>
    <row r="159" spans="1:18" ht="15.75" x14ac:dyDescent="0.25">
      <c r="A159" s="75" t="s">
        <v>62</v>
      </c>
      <c r="B159" s="278">
        <v>44574</v>
      </c>
      <c r="C159" s="22"/>
      <c r="D159" s="37"/>
      <c r="E159" s="22"/>
      <c r="F159" s="37"/>
      <c r="G159" s="22"/>
      <c r="H159" s="37"/>
      <c r="I159" s="22"/>
      <c r="J159" s="37"/>
      <c r="K159" s="21">
        <f>SUM(B159:J159)</f>
        <v>44574</v>
      </c>
      <c r="L159" s="21"/>
      <c r="M159" s="21">
        <v>43700</v>
      </c>
      <c r="N159" s="21">
        <v>51500</v>
      </c>
      <c r="O159" s="21">
        <v>38625</v>
      </c>
      <c r="P159" s="287">
        <f>IFERROR((+K159-N159)/N159,0)</f>
        <v>-0.13448543689320389</v>
      </c>
      <c r="Q159" s="21">
        <v>43700</v>
      </c>
      <c r="R159" s="25" t="s">
        <v>244</v>
      </c>
    </row>
    <row r="160" spans="1:18" ht="15.75" x14ac:dyDescent="0.25">
      <c r="A160" s="79" t="s">
        <v>152</v>
      </c>
      <c r="B160" s="60">
        <f t="shared" ref="B160:I160" si="98">SUM(B159:B159)</f>
        <v>44574</v>
      </c>
      <c r="C160" s="60">
        <f t="shared" si="98"/>
        <v>0</v>
      </c>
      <c r="D160" s="60">
        <f t="shared" si="98"/>
        <v>0</v>
      </c>
      <c r="E160" s="60">
        <f t="shared" si="98"/>
        <v>0</v>
      </c>
      <c r="F160" s="60">
        <f t="shared" si="98"/>
        <v>0</v>
      </c>
      <c r="G160" s="60">
        <f t="shared" si="98"/>
        <v>0</v>
      </c>
      <c r="H160" s="60">
        <f t="shared" ref="H160" si="99">SUM(H159:H159)</f>
        <v>0</v>
      </c>
      <c r="I160" s="60">
        <f t="shared" si="98"/>
        <v>0</v>
      </c>
      <c r="J160" s="60">
        <f t="shared" ref="J160" si="100">SUM(J159:J159)</f>
        <v>0</v>
      </c>
      <c r="K160" s="30">
        <f t="shared" ref="K160:O160" si="101">SUM(K159:K159)</f>
        <v>44574</v>
      </c>
      <c r="L160" s="30"/>
      <c r="M160" s="30">
        <f t="shared" si="101"/>
        <v>43700</v>
      </c>
      <c r="N160" s="30">
        <f t="shared" si="101"/>
        <v>51500</v>
      </c>
      <c r="O160" s="30">
        <f t="shared" si="101"/>
        <v>38625</v>
      </c>
      <c r="P160" s="248">
        <f>IFERROR((+K160-N160)/N160,0)</f>
        <v>-0.13448543689320389</v>
      </c>
      <c r="Q160" s="30">
        <f t="shared" ref="Q160" si="102">SUM(Q159:Q159)</f>
        <v>43700</v>
      </c>
      <c r="R160" s="25"/>
    </row>
    <row r="161" spans="1:18" ht="15.75" x14ac:dyDescent="0.25">
      <c r="A161" s="75"/>
      <c r="B161" s="37"/>
      <c r="C161" s="22"/>
      <c r="D161" s="37"/>
      <c r="E161" s="22"/>
      <c r="F161" s="37"/>
      <c r="G161" s="22"/>
      <c r="H161" s="37"/>
      <c r="I161" s="22"/>
      <c r="J161" s="37"/>
      <c r="K161" s="38"/>
      <c r="L161" s="38"/>
      <c r="M161" s="38"/>
      <c r="N161" s="38"/>
      <c r="O161" s="38"/>
      <c r="P161" s="289"/>
      <c r="Q161" s="38"/>
    </row>
    <row r="162" spans="1:18" ht="24" customHeight="1" x14ac:dyDescent="0.25">
      <c r="A162" s="76" t="s">
        <v>63</v>
      </c>
      <c r="B162" s="52"/>
      <c r="C162" s="53"/>
      <c r="D162" s="52"/>
      <c r="E162" s="53"/>
      <c r="F162" s="52"/>
      <c r="G162" s="53"/>
      <c r="H162" s="52"/>
      <c r="I162" s="53"/>
      <c r="J162" s="52"/>
      <c r="K162" s="54"/>
      <c r="L162" s="54"/>
      <c r="M162" s="54"/>
      <c r="N162" s="54"/>
      <c r="O162" s="54"/>
      <c r="P162" s="294"/>
      <c r="Q162" s="54"/>
    </row>
    <row r="163" spans="1:18" ht="15.75" x14ac:dyDescent="0.25">
      <c r="A163" s="75" t="s">
        <v>64</v>
      </c>
      <c r="B163" s="37">
        <v>800</v>
      </c>
      <c r="C163" s="22"/>
      <c r="D163" s="37"/>
      <c r="E163" s="22"/>
      <c r="F163" s="37"/>
      <c r="G163" s="22"/>
      <c r="H163" s="37"/>
      <c r="I163" s="22"/>
      <c r="J163" s="37"/>
      <c r="K163" s="21">
        <f t="shared" ref="K163:K177" si="103">SUM(B163:J163)</f>
        <v>800</v>
      </c>
      <c r="L163" s="21"/>
      <c r="M163" s="21">
        <v>880</v>
      </c>
      <c r="N163" s="21">
        <v>495</v>
      </c>
      <c r="O163" s="21">
        <v>495</v>
      </c>
      <c r="P163" s="287">
        <f t="shared" ref="P163:P178" si="104">IFERROR((+K163-N163)/N163,0)</f>
        <v>0.61616161616161613</v>
      </c>
      <c r="Q163" s="21">
        <v>879</v>
      </c>
    </row>
    <row r="164" spans="1:18" ht="15.75" x14ac:dyDescent="0.25">
      <c r="A164" s="75" t="s">
        <v>221</v>
      </c>
      <c r="B164" s="37">
        <v>2800</v>
      </c>
      <c r="C164" s="22"/>
      <c r="D164" s="37"/>
      <c r="E164" s="22"/>
      <c r="F164" s="37"/>
      <c r="G164" s="22"/>
      <c r="H164" s="37"/>
      <c r="I164" s="22"/>
      <c r="J164" s="37"/>
      <c r="K164" s="21">
        <f t="shared" si="103"/>
        <v>2800</v>
      </c>
      <c r="L164" s="21"/>
      <c r="M164" s="21">
        <v>2620</v>
      </c>
      <c r="N164" s="21">
        <v>2619</v>
      </c>
      <c r="O164" s="21">
        <v>1964</v>
      </c>
      <c r="P164" s="287">
        <f t="shared" si="104"/>
        <v>6.911034746086292E-2</v>
      </c>
      <c r="Q164" s="21">
        <v>2619</v>
      </c>
      <c r="R164" s="24" t="s">
        <v>306</v>
      </c>
    </row>
    <row r="165" spans="1:18" ht="15.75" x14ac:dyDescent="0.25">
      <c r="A165" s="77" t="s">
        <v>135</v>
      </c>
      <c r="B165" s="37">
        <v>8400</v>
      </c>
      <c r="C165" s="22"/>
      <c r="D165" s="37"/>
      <c r="E165" s="22"/>
      <c r="F165" s="37"/>
      <c r="G165" s="22"/>
      <c r="H165" s="37"/>
      <c r="I165" s="22"/>
      <c r="J165" s="37"/>
      <c r="K165" s="21">
        <f t="shared" si="103"/>
        <v>8400</v>
      </c>
      <c r="L165" s="21"/>
      <c r="M165" s="21">
        <v>8000</v>
      </c>
      <c r="N165" s="21">
        <v>7950</v>
      </c>
      <c r="O165" s="21">
        <v>5400</v>
      </c>
      <c r="P165" s="287">
        <f t="shared" si="104"/>
        <v>5.6603773584905662E-2</v>
      </c>
      <c r="Q165" s="21">
        <v>9161</v>
      </c>
      <c r="R165" s="24" t="s">
        <v>305</v>
      </c>
    </row>
    <row r="166" spans="1:18" ht="15.75" customHeight="1" x14ac:dyDescent="0.25">
      <c r="A166" s="75" t="s">
        <v>65</v>
      </c>
      <c r="B166" s="36">
        <v>3000</v>
      </c>
      <c r="C166" s="22"/>
      <c r="D166" s="37"/>
      <c r="E166" s="22"/>
      <c r="F166" s="37"/>
      <c r="G166" s="22"/>
      <c r="H166" s="37"/>
      <c r="I166" s="22"/>
      <c r="J166" s="37"/>
      <c r="K166" s="21">
        <f t="shared" si="103"/>
        <v>3000</v>
      </c>
      <c r="L166" s="21"/>
      <c r="M166" s="21">
        <v>3000</v>
      </c>
      <c r="N166" s="21">
        <v>1158</v>
      </c>
      <c r="O166" s="21">
        <v>1190</v>
      </c>
      <c r="P166" s="287">
        <f t="shared" si="104"/>
        <v>1.5906735751295338</v>
      </c>
      <c r="Q166" s="21">
        <v>3000</v>
      </c>
    </row>
    <row r="167" spans="1:18" ht="15.75" x14ac:dyDescent="0.25">
      <c r="A167" s="75" t="s">
        <v>66</v>
      </c>
      <c r="B167" s="37">
        <v>8400</v>
      </c>
      <c r="C167" s="22"/>
      <c r="D167" s="37"/>
      <c r="E167" s="22"/>
      <c r="F167" s="37"/>
      <c r="G167" s="22"/>
      <c r="H167" s="37"/>
      <c r="I167" s="22"/>
      <c r="J167" s="37"/>
      <c r="K167" s="45">
        <f t="shared" si="103"/>
        <v>8400</v>
      </c>
      <c r="L167" s="21"/>
      <c r="M167" s="21">
        <v>8320</v>
      </c>
      <c r="N167" s="21">
        <v>7991</v>
      </c>
      <c r="O167" s="21">
        <v>5436</v>
      </c>
      <c r="P167" s="287">
        <f t="shared" si="104"/>
        <v>5.1182580402953322E-2</v>
      </c>
      <c r="Q167" s="21">
        <v>9159</v>
      </c>
    </row>
    <row r="168" spans="1:18" ht="15.75" x14ac:dyDescent="0.25">
      <c r="A168" s="75" t="s">
        <v>67</v>
      </c>
      <c r="B168" s="37">
        <v>6400</v>
      </c>
      <c r="C168" s="22"/>
      <c r="D168" s="37"/>
      <c r="E168" s="22"/>
      <c r="F168" s="37"/>
      <c r="G168" s="22"/>
      <c r="H168" s="37"/>
      <c r="I168" s="22"/>
      <c r="J168" s="37"/>
      <c r="K168" s="21">
        <f t="shared" si="103"/>
        <v>6400</v>
      </c>
      <c r="L168" s="21"/>
      <c r="M168" s="21">
        <v>6400</v>
      </c>
      <c r="N168" s="21">
        <v>6296</v>
      </c>
      <c r="O168" s="21">
        <v>4388</v>
      </c>
      <c r="P168" s="287">
        <f t="shared" si="104"/>
        <v>1.6518424396442185E-2</v>
      </c>
      <c r="Q168" s="21">
        <v>5995</v>
      </c>
    </row>
    <row r="169" spans="1:18" ht="15.75" x14ac:dyDescent="0.25">
      <c r="A169" s="75" t="s">
        <v>68</v>
      </c>
      <c r="B169" s="36">
        <v>150</v>
      </c>
      <c r="C169" s="22"/>
      <c r="D169" s="37"/>
      <c r="E169" s="22"/>
      <c r="F169" s="37"/>
      <c r="G169" s="22"/>
      <c r="H169" s="37"/>
      <c r="I169" s="22"/>
      <c r="J169" s="37"/>
      <c r="K169" s="21">
        <f t="shared" si="103"/>
        <v>150</v>
      </c>
      <c r="L169" s="21"/>
      <c r="M169" s="21">
        <v>300</v>
      </c>
      <c r="N169" s="21">
        <v>0</v>
      </c>
      <c r="O169" s="21">
        <v>0</v>
      </c>
      <c r="P169" s="287">
        <f t="shared" si="104"/>
        <v>0</v>
      </c>
      <c r="Q169" s="21">
        <v>0</v>
      </c>
      <c r="R169" s="24" t="s">
        <v>408</v>
      </c>
    </row>
    <row r="170" spans="1:18" ht="15.75" x14ac:dyDescent="0.25">
      <c r="A170" s="75" t="s">
        <v>69</v>
      </c>
      <c r="B170" s="37">
        <v>850</v>
      </c>
      <c r="C170" s="22"/>
      <c r="D170" s="37"/>
      <c r="E170" s="22"/>
      <c r="F170" s="37"/>
      <c r="G170" s="22"/>
      <c r="H170" s="37"/>
      <c r="I170" s="22"/>
      <c r="J170" s="37"/>
      <c r="K170" s="21">
        <f t="shared" si="103"/>
        <v>850</v>
      </c>
      <c r="L170" s="21"/>
      <c r="M170" s="21">
        <v>850</v>
      </c>
      <c r="N170" s="21">
        <v>1213</v>
      </c>
      <c r="O170" s="21">
        <v>717</v>
      </c>
      <c r="P170" s="287">
        <f t="shared" si="104"/>
        <v>-0.29925803792250616</v>
      </c>
      <c r="Q170" s="21">
        <v>802</v>
      </c>
    </row>
    <row r="171" spans="1:18" ht="15.75" x14ac:dyDescent="0.25">
      <c r="A171" s="75" t="s">
        <v>70</v>
      </c>
      <c r="B171" s="37"/>
      <c r="C171" s="22"/>
      <c r="D171" s="37">
        <f>500+3710</f>
        <v>4210</v>
      </c>
      <c r="E171" s="22"/>
      <c r="F171" s="37"/>
      <c r="G171" s="22"/>
      <c r="H171" s="37"/>
      <c r="I171" s="22"/>
      <c r="J171" s="37"/>
      <c r="K171" s="21">
        <f t="shared" si="103"/>
        <v>4210</v>
      </c>
      <c r="L171" s="21"/>
      <c r="M171" s="21">
        <v>3200</v>
      </c>
      <c r="N171" s="21">
        <v>2702</v>
      </c>
      <c r="O171" s="21">
        <v>1856</v>
      </c>
      <c r="P171" s="287">
        <f t="shared" si="104"/>
        <v>0.5581051073279053</v>
      </c>
      <c r="Q171" s="21">
        <v>3924</v>
      </c>
    </row>
    <row r="172" spans="1:18" ht="15.75" x14ac:dyDescent="0.25">
      <c r="A172" s="75" t="s">
        <v>71</v>
      </c>
      <c r="B172" s="37">
        <v>5000</v>
      </c>
      <c r="C172" s="22"/>
      <c r="D172" s="37"/>
      <c r="E172" s="22"/>
      <c r="F172" s="37"/>
      <c r="G172" s="22"/>
      <c r="H172" s="37"/>
      <c r="I172" s="22"/>
      <c r="J172" s="37"/>
      <c r="K172" s="21">
        <f t="shared" si="103"/>
        <v>5000</v>
      </c>
      <c r="L172" s="21"/>
      <c r="M172" s="21">
        <v>6000</v>
      </c>
      <c r="N172" s="21">
        <v>6919</v>
      </c>
      <c r="O172" s="21">
        <v>4432</v>
      </c>
      <c r="P172" s="287">
        <f t="shared" si="104"/>
        <v>-0.27735221852868913</v>
      </c>
      <c r="Q172" s="21">
        <v>4423</v>
      </c>
    </row>
    <row r="173" spans="1:18" ht="15.75" x14ac:dyDescent="0.25">
      <c r="A173" s="75" t="s">
        <v>72</v>
      </c>
      <c r="B173" s="36"/>
      <c r="C173" s="22"/>
      <c r="D173" s="36">
        <v>8700</v>
      </c>
      <c r="E173" s="22"/>
      <c r="F173" s="37"/>
      <c r="G173" s="22"/>
      <c r="H173" s="37"/>
      <c r="I173" s="22"/>
      <c r="J173" s="37"/>
      <c r="K173" s="21">
        <f t="shared" si="103"/>
        <v>8700</v>
      </c>
      <c r="L173" s="21"/>
      <c r="M173" s="21">
        <v>7600</v>
      </c>
      <c r="N173" s="21">
        <v>5769</v>
      </c>
      <c r="O173" s="21">
        <v>5664</v>
      </c>
      <c r="P173" s="287">
        <f t="shared" si="104"/>
        <v>0.50806032241289656</v>
      </c>
      <c r="Q173" s="21">
        <v>7046</v>
      </c>
      <c r="R173" s="24" t="s">
        <v>307</v>
      </c>
    </row>
    <row r="174" spans="1:18" ht="15.75" x14ac:dyDescent="0.25">
      <c r="A174" s="75" t="s">
        <v>220</v>
      </c>
      <c r="B174" s="37"/>
      <c r="C174" s="22"/>
      <c r="D174" s="37">
        <v>12500</v>
      </c>
      <c r="E174" s="22"/>
      <c r="F174" s="37"/>
      <c r="G174" s="22"/>
      <c r="H174" s="37"/>
      <c r="I174" s="22"/>
      <c r="J174" s="37"/>
      <c r="K174" s="45">
        <f t="shared" si="103"/>
        <v>12500</v>
      </c>
      <c r="L174" s="21"/>
      <c r="M174" s="21">
        <v>12102</v>
      </c>
      <c r="N174" s="21">
        <v>11875</v>
      </c>
      <c r="O174" s="21">
        <v>8750</v>
      </c>
      <c r="P174" s="287">
        <f t="shared" si="104"/>
        <v>5.2631578947368418E-2</v>
      </c>
      <c r="Q174" s="21">
        <v>12500</v>
      </c>
      <c r="R174" s="24" t="s">
        <v>230</v>
      </c>
    </row>
    <row r="175" spans="1:18" ht="15.75" x14ac:dyDescent="0.25">
      <c r="A175" s="75" t="s">
        <v>219</v>
      </c>
      <c r="B175" s="37"/>
      <c r="C175" s="22"/>
      <c r="D175" s="37">
        <v>10000</v>
      </c>
      <c r="E175" s="22"/>
      <c r="F175" s="37"/>
      <c r="G175" s="22"/>
      <c r="H175" s="37"/>
      <c r="I175" s="22"/>
      <c r="J175" s="37"/>
      <c r="K175" s="21">
        <f t="shared" si="103"/>
        <v>10000</v>
      </c>
      <c r="L175" s="21"/>
      <c r="M175" s="21">
        <v>18000</v>
      </c>
      <c r="N175" s="21">
        <v>10426</v>
      </c>
      <c r="O175" s="21">
        <v>9493</v>
      </c>
      <c r="P175" s="287">
        <f t="shared" si="104"/>
        <v>-4.0859389986572028E-2</v>
      </c>
      <c r="Q175" s="21">
        <v>14066</v>
      </c>
    </row>
    <row r="176" spans="1:18" ht="15.75" x14ac:dyDescent="0.25">
      <c r="A176" s="75" t="s">
        <v>73</v>
      </c>
      <c r="B176" s="37"/>
      <c r="C176" s="22"/>
      <c r="D176" s="37">
        <v>500</v>
      </c>
      <c r="E176" s="22"/>
      <c r="F176" s="37"/>
      <c r="G176" s="22"/>
      <c r="H176" s="37"/>
      <c r="I176" s="22"/>
      <c r="J176" s="37"/>
      <c r="K176" s="21">
        <f t="shared" si="103"/>
        <v>500</v>
      </c>
      <c r="L176" s="21"/>
      <c r="M176" s="21">
        <v>700</v>
      </c>
      <c r="N176" s="21">
        <v>0</v>
      </c>
      <c r="O176" s="21"/>
      <c r="P176" s="287">
        <f t="shared" si="104"/>
        <v>0</v>
      </c>
      <c r="Q176" s="21">
        <v>124</v>
      </c>
    </row>
    <row r="177" spans="1:18" ht="15.75" x14ac:dyDescent="0.25">
      <c r="A177" s="75" t="s">
        <v>115</v>
      </c>
      <c r="B177" s="37">
        <v>2496</v>
      </c>
      <c r="C177" s="22"/>
      <c r="D177" s="37"/>
      <c r="E177" s="22"/>
      <c r="F177" s="37"/>
      <c r="G177" s="22"/>
      <c r="H177" s="37"/>
      <c r="I177" s="22"/>
      <c r="J177" s="37"/>
      <c r="K177" s="21">
        <f t="shared" si="103"/>
        <v>2496</v>
      </c>
      <c r="L177" s="21"/>
      <c r="M177" s="21">
        <v>2496</v>
      </c>
      <c r="N177" s="21">
        <v>0</v>
      </c>
      <c r="O177" s="21"/>
      <c r="P177" s="287">
        <f t="shared" si="104"/>
        <v>0</v>
      </c>
      <c r="Q177" s="21">
        <v>2496</v>
      </c>
      <c r="R177" s="24" t="s">
        <v>308</v>
      </c>
    </row>
    <row r="178" spans="1:18" ht="15.75" x14ac:dyDescent="0.25">
      <c r="A178" s="79" t="s">
        <v>74</v>
      </c>
      <c r="B178" s="60">
        <f t="shared" ref="B178:K178" si="105">SUM(B163:B177)</f>
        <v>38296</v>
      </c>
      <c r="C178" s="60">
        <f t="shared" si="105"/>
        <v>0</v>
      </c>
      <c r="D178" s="60">
        <f t="shared" si="105"/>
        <v>35910</v>
      </c>
      <c r="E178" s="60">
        <f t="shared" si="105"/>
        <v>0</v>
      </c>
      <c r="F178" s="60">
        <f t="shared" si="105"/>
        <v>0</v>
      </c>
      <c r="G178" s="60">
        <f t="shared" si="105"/>
        <v>0</v>
      </c>
      <c r="H178" s="60">
        <f t="shared" si="105"/>
        <v>0</v>
      </c>
      <c r="I178" s="60">
        <f t="shared" si="105"/>
        <v>0</v>
      </c>
      <c r="J178" s="60">
        <f t="shared" si="105"/>
        <v>0</v>
      </c>
      <c r="K178" s="30">
        <f t="shared" si="105"/>
        <v>74206</v>
      </c>
      <c r="L178" s="30"/>
      <c r="M178" s="30">
        <f>SUM(M163:M177)</f>
        <v>80468</v>
      </c>
      <c r="N178" s="30">
        <f>SUM(N163:N177)</f>
        <v>65413</v>
      </c>
      <c r="O178" s="30">
        <f>SUM(O163:O177)</f>
        <v>49785</v>
      </c>
      <c r="P178" s="248">
        <f t="shared" si="104"/>
        <v>0.13442282115175883</v>
      </c>
      <c r="Q178" s="30">
        <f>SUM(Q163:Q177)</f>
        <v>76194</v>
      </c>
      <c r="R178" s="25"/>
    </row>
    <row r="179" spans="1:18" ht="15.75" x14ac:dyDescent="0.25">
      <c r="A179" s="80"/>
      <c r="B179" s="37"/>
      <c r="C179" s="22"/>
      <c r="D179" s="37"/>
      <c r="E179" s="22"/>
      <c r="F179" s="37"/>
      <c r="G179" s="22"/>
      <c r="H179" s="37"/>
      <c r="I179" s="22"/>
      <c r="J179" s="37"/>
      <c r="K179" s="38"/>
      <c r="L179" s="38"/>
      <c r="M179" s="38"/>
      <c r="N179" s="38"/>
      <c r="O179" s="38"/>
      <c r="P179" s="289"/>
      <c r="Q179" s="38"/>
    </row>
    <row r="180" spans="1:18" ht="15.75" x14ac:dyDescent="0.25">
      <c r="A180" s="76" t="s">
        <v>75</v>
      </c>
      <c r="B180" s="52"/>
      <c r="C180" s="53"/>
      <c r="D180" s="52"/>
      <c r="E180" s="53"/>
      <c r="F180" s="52"/>
      <c r="G180" s="53"/>
      <c r="H180" s="52"/>
      <c r="I180" s="53"/>
      <c r="J180" s="52"/>
      <c r="K180" s="54"/>
      <c r="L180" s="54"/>
      <c r="M180" s="54"/>
      <c r="N180" s="54"/>
      <c r="O180" s="54"/>
      <c r="P180" s="294"/>
      <c r="Q180" s="54"/>
    </row>
    <row r="181" spans="1:18" ht="15.75" x14ac:dyDescent="0.25">
      <c r="A181" s="75" t="s">
        <v>76</v>
      </c>
      <c r="B181" s="37">
        <v>500</v>
      </c>
      <c r="C181" s="22"/>
      <c r="D181" s="37"/>
      <c r="E181" s="22"/>
      <c r="F181" s="37"/>
      <c r="G181" s="22"/>
      <c r="H181" s="37"/>
      <c r="I181" s="22"/>
      <c r="J181" s="37"/>
      <c r="K181" s="21">
        <f>SUM(B181:J181)</f>
        <v>500</v>
      </c>
      <c r="L181" s="21"/>
      <c r="M181" s="21">
        <v>1000</v>
      </c>
      <c r="N181" s="21">
        <v>0</v>
      </c>
      <c r="O181" s="21">
        <v>0</v>
      </c>
      <c r="P181" s="287">
        <f>IFERROR((+N181-K181)/N181,0)</f>
        <v>0</v>
      </c>
      <c r="Q181" s="21">
        <v>0</v>
      </c>
    </row>
    <row r="182" spans="1:18" ht="15.75" x14ac:dyDescent="0.25">
      <c r="A182" s="77" t="s">
        <v>134</v>
      </c>
      <c r="B182" s="37">
        <v>1500</v>
      </c>
      <c r="C182" s="22"/>
      <c r="D182" s="37"/>
      <c r="E182" s="22"/>
      <c r="F182" s="37"/>
      <c r="G182" s="22"/>
      <c r="H182" s="37"/>
      <c r="I182" s="22"/>
      <c r="J182" s="37"/>
      <c r="K182" s="21">
        <f>SUM(B182:J182)</f>
        <v>1500</v>
      </c>
      <c r="L182" s="21"/>
      <c r="M182" s="21">
        <v>2000</v>
      </c>
      <c r="N182" s="21">
        <v>1864</v>
      </c>
      <c r="O182" s="21">
        <v>1202</v>
      </c>
      <c r="P182" s="287">
        <f>IFERROR((+N182-K182)/N182,0)</f>
        <v>0.19527896995708155</v>
      </c>
      <c r="Q182" s="21">
        <v>1525</v>
      </c>
    </row>
    <row r="183" spans="1:18" ht="24" customHeight="1" x14ac:dyDescent="0.25">
      <c r="A183" s="79" t="s">
        <v>77</v>
      </c>
      <c r="B183" s="61">
        <f t="shared" ref="B183:K183" si="106">SUM(B181:B182)</f>
        <v>2000</v>
      </c>
      <c r="C183" s="61">
        <f t="shared" si="106"/>
        <v>0</v>
      </c>
      <c r="D183" s="61">
        <f t="shared" si="106"/>
        <v>0</v>
      </c>
      <c r="E183" s="61">
        <f t="shared" si="106"/>
        <v>0</v>
      </c>
      <c r="F183" s="61">
        <f t="shared" si="106"/>
        <v>0</v>
      </c>
      <c r="G183" s="61">
        <f t="shared" si="106"/>
        <v>0</v>
      </c>
      <c r="H183" s="61">
        <f t="shared" si="106"/>
        <v>0</v>
      </c>
      <c r="I183" s="61">
        <f t="shared" si="106"/>
        <v>0</v>
      </c>
      <c r="J183" s="61">
        <f t="shared" si="106"/>
        <v>0</v>
      </c>
      <c r="K183" s="49">
        <f t="shared" si="106"/>
        <v>2000</v>
      </c>
      <c r="L183" s="49"/>
      <c r="M183" s="49">
        <f>SUM(M181:M182)</f>
        <v>3000</v>
      </c>
      <c r="N183" s="49">
        <f>SUM(N181:N182)</f>
        <v>1864</v>
      </c>
      <c r="O183" s="49">
        <f>SUM(O181:O182)</f>
        <v>1202</v>
      </c>
      <c r="P183" s="248">
        <f>IFERROR((+K183-N183)/N183,0)</f>
        <v>7.2961373390557943E-2</v>
      </c>
      <c r="Q183" s="49">
        <f>SUM(Q181:Q182)</f>
        <v>1525</v>
      </c>
    </row>
    <row r="184" spans="1:18" ht="15.75" x14ac:dyDescent="0.25">
      <c r="A184" s="80"/>
      <c r="B184" s="52"/>
      <c r="C184" s="53"/>
      <c r="D184" s="52"/>
      <c r="E184" s="53"/>
      <c r="F184" s="52"/>
      <c r="G184" s="53"/>
      <c r="H184" s="52"/>
      <c r="I184" s="53"/>
      <c r="J184" s="52"/>
      <c r="K184" s="54"/>
      <c r="L184" s="54"/>
      <c r="M184" s="54"/>
      <c r="N184" s="54"/>
      <c r="O184" s="54"/>
      <c r="P184" s="294"/>
      <c r="Q184" s="54"/>
    </row>
    <row r="185" spans="1:18" ht="15.75" x14ac:dyDescent="0.25">
      <c r="A185" s="76" t="s">
        <v>19</v>
      </c>
      <c r="B185" s="52"/>
      <c r="C185" s="53"/>
      <c r="D185" s="52"/>
      <c r="E185" s="53"/>
      <c r="F185" s="52"/>
      <c r="G185" s="53"/>
      <c r="H185" s="52"/>
      <c r="I185" s="53"/>
      <c r="J185" s="52"/>
      <c r="K185" s="54"/>
      <c r="L185" s="54"/>
      <c r="M185" s="54"/>
      <c r="N185" s="54"/>
      <c r="O185" s="54"/>
      <c r="P185" s="294"/>
      <c r="Q185" s="54"/>
    </row>
    <row r="186" spans="1:18" ht="15.75" x14ac:dyDescent="0.25">
      <c r="A186" s="257" t="s">
        <v>290</v>
      </c>
      <c r="B186" s="37"/>
      <c r="C186" s="22"/>
      <c r="D186" s="37">
        <f>59667+14918</f>
        <v>74585</v>
      </c>
      <c r="E186" s="22"/>
      <c r="F186" s="37"/>
      <c r="G186" s="22"/>
      <c r="H186" s="37"/>
      <c r="I186" s="22"/>
      <c r="J186" s="37"/>
      <c r="K186" s="21">
        <f>SUM(B186:J186)</f>
        <v>74585</v>
      </c>
      <c r="L186" s="21"/>
      <c r="M186" s="21">
        <v>72766</v>
      </c>
      <c r="N186" s="21">
        <v>47830</v>
      </c>
      <c r="O186" s="21">
        <v>35544</v>
      </c>
      <c r="P186" s="287">
        <f>IFERROR((+K186-N186)/N186,0)</f>
        <v>0.55937696006690363</v>
      </c>
      <c r="Q186" s="21">
        <v>48453</v>
      </c>
      <c r="R186" s="24" t="s">
        <v>299</v>
      </c>
    </row>
    <row r="187" spans="1:18" ht="15.75" x14ac:dyDescent="0.25">
      <c r="A187" s="258" t="s">
        <v>291</v>
      </c>
      <c r="B187" s="60">
        <f t="shared" ref="B187:I187" si="107">SUM(B186:B186)</f>
        <v>0</v>
      </c>
      <c r="C187" s="60">
        <f t="shared" si="107"/>
        <v>0</v>
      </c>
      <c r="D187" s="60">
        <f t="shared" si="107"/>
        <v>74585</v>
      </c>
      <c r="E187" s="60">
        <f t="shared" si="107"/>
        <v>0</v>
      </c>
      <c r="F187" s="60">
        <f t="shared" si="107"/>
        <v>0</v>
      </c>
      <c r="G187" s="60">
        <f t="shared" si="107"/>
        <v>0</v>
      </c>
      <c r="H187" s="60">
        <f t="shared" ref="H187" si="108">SUM(H186:H186)</f>
        <v>0</v>
      </c>
      <c r="I187" s="60">
        <f t="shared" si="107"/>
        <v>0</v>
      </c>
      <c r="J187" s="60">
        <f t="shared" ref="J187" si="109">SUM(J186:J186)</f>
        <v>0</v>
      </c>
      <c r="K187" s="241">
        <f t="shared" ref="K187:O187" si="110">SUM(K186:K186)</f>
        <v>74585</v>
      </c>
      <c r="L187" s="241"/>
      <c r="M187" s="241">
        <f t="shared" si="110"/>
        <v>72766</v>
      </c>
      <c r="N187" s="241">
        <f t="shared" si="110"/>
        <v>47830</v>
      </c>
      <c r="O187" s="241">
        <f t="shared" si="110"/>
        <v>35544</v>
      </c>
      <c r="P187" s="248">
        <f>IFERROR((+K187-N187)/N187,0)</f>
        <v>0.55937696006690363</v>
      </c>
      <c r="Q187" s="241">
        <f t="shared" ref="Q187" si="111">SUM(Q186:Q186)</f>
        <v>48453</v>
      </c>
      <c r="R187" s="25"/>
    </row>
    <row r="188" spans="1:18" ht="15.75" x14ac:dyDescent="0.25">
      <c r="A188" s="259"/>
      <c r="B188" s="52"/>
      <c r="C188" s="241"/>
      <c r="D188" s="52"/>
      <c r="E188" s="241"/>
      <c r="F188" s="52"/>
      <c r="G188" s="241"/>
      <c r="H188" s="52"/>
      <c r="I188" s="241"/>
      <c r="J188" s="52"/>
      <c r="K188" s="54"/>
      <c r="L188" s="54"/>
      <c r="M188" s="54"/>
      <c r="N188" s="54"/>
      <c r="O188" s="54"/>
      <c r="P188" s="294"/>
      <c r="Q188" s="54"/>
      <c r="R188" s="25"/>
    </row>
    <row r="189" spans="1:18" ht="15.75" x14ac:dyDescent="0.25">
      <c r="A189" s="257" t="s">
        <v>289</v>
      </c>
      <c r="B189" s="37"/>
      <c r="C189" s="22"/>
      <c r="D189" s="37">
        <v>0</v>
      </c>
      <c r="E189" s="22"/>
      <c r="F189" s="37"/>
      <c r="G189" s="22"/>
      <c r="H189" s="37"/>
      <c r="I189" s="22"/>
      <c r="J189" s="37"/>
      <c r="K189" s="21">
        <f>SUM(B189:J189)</f>
        <v>0</v>
      </c>
      <c r="L189" s="21"/>
      <c r="M189" s="21">
        <v>15600</v>
      </c>
      <c r="N189" s="21">
        <v>0</v>
      </c>
      <c r="O189" s="21">
        <v>0</v>
      </c>
      <c r="P189" s="287">
        <v>1</v>
      </c>
      <c r="Q189" s="21">
        <v>0</v>
      </c>
      <c r="R189" s="25" t="s">
        <v>404</v>
      </c>
    </row>
    <row r="190" spans="1:18" ht="15.75" x14ac:dyDescent="0.25">
      <c r="A190" s="258" t="s">
        <v>292</v>
      </c>
      <c r="B190" s="60">
        <f t="shared" ref="B190:G190" si="112">SUM(B189:B189)</f>
        <v>0</v>
      </c>
      <c r="C190" s="60">
        <f t="shared" si="112"/>
        <v>0</v>
      </c>
      <c r="D190" s="60">
        <f t="shared" si="112"/>
        <v>0</v>
      </c>
      <c r="E190" s="60">
        <f t="shared" si="112"/>
        <v>0</v>
      </c>
      <c r="F190" s="60">
        <f t="shared" si="112"/>
        <v>0</v>
      </c>
      <c r="G190" s="60">
        <f t="shared" si="112"/>
        <v>0</v>
      </c>
      <c r="H190" s="60">
        <f t="shared" ref="H190" si="113">SUM(H189:H189)</f>
        <v>0</v>
      </c>
      <c r="I190" s="60">
        <f t="shared" ref="I190" si="114">SUM(I189:I189)</f>
        <v>0</v>
      </c>
      <c r="J190" s="60">
        <f t="shared" ref="J190:O190" si="115">SUM(J189:J189)</f>
        <v>0</v>
      </c>
      <c r="K190" s="30">
        <f t="shared" si="115"/>
        <v>0</v>
      </c>
      <c r="L190" s="30"/>
      <c r="M190" s="30">
        <f t="shared" si="115"/>
        <v>15600</v>
      </c>
      <c r="N190" s="30">
        <f t="shared" si="115"/>
        <v>0</v>
      </c>
      <c r="O190" s="30">
        <f t="shared" si="115"/>
        <v>0</v>
      </c>
      <c r="P190" s="248">
        <v>1</v>
      </c>
      <c r="Q190" s="30">
        <f t="shared" ref="Q190" si="116">SUM(Q189:Q189)</f>
        <v>0</v>
      </c>
      <c r="R190" s="25"/>
    </row>
    <row r="191" spans="1:18" ht="15.75" x14ac:dyDescent="0.25">
      <c r="A191" s="347"/>
      <c r="B191" s="37"/>
      <c r="C191" s="22"/>
      <c r="D191" s="37"/>
      <c r="E191" s="22"/>
      <c r="F191" s="37"/>
      <c r="G191" s="22"/>
      <c r="H191" s="37"/>
      <c r="I191" s="22"/>
      <c r="J191" s="37"/>
      <c r="K191" s="54"/>
      <c r="L191" s="54"/>
      <c r="M191" s="54"/>
      <c r="N191" s="54"/>
      <c r="O191" s="30"/>
      <c r="P191" s="248"/>
      <c r="Q191" s="54"/>
      <c r="R191" s="25"/>
    </row>
    <row r="192" spans="1:18" ht="15.75" customHeight="1" x14ac:dyDescent="0.25">
      <c r="A192" s="75" t="s">
        <v>144</v>
      </c>
      <c r="B192" s="37"/>
      <c r="C192" s="22"/>
      <c r="D192" s="37">
        <v>65741</v>
      </c>
      <c r="E192" s="22"/>
      <c r="F192" s="37"/>
      <c r="G192" s="22"/>
      <c r="H192" s="37"/>
      <c r="I192" s="22"/>
      <c r="J192" s="37"/>
      <c r="K192" s="21">
        <f>SUM(B192:J192)</f>
        <v>65741</v>
      </c>
      <c r="L192" s="21"/>
      <c r="M192" s="21">
        <v>64138</v>
      </c>
      <c r="N192" s="21">
        <v>60222</v>
      </c>
      <c r="O192" s="21">
        <v>45167</v>
      </c>
      <c r="P192" s="287">
        <f>IFERROR((+K192-N192)/N192,0)</f>
        <v>9.1644249609777156E-2</v>
      </c>
      <c r="Q192" s="21">
        <v>64138</v>
      </c>
      <c r="R192" s="25"/>
    </row>
    <row r="193" spans="1:18" ht="15.75" x14ac:dyDescent="0.25">
      <c r="A193" s="75" t="s">
        <v>145</v>
      </c>
      <c r="B193" s="37"/>
      <c r="C193" s="22"/>
      <c r="D193" s="36">
        <f>7232+1052+26168</f>
        <v>34452</v>
      </c>
      <c r="E193" s="22"/>
      <c r="F193" s="37"/>
      <c r="G193" s="22"/>
      <c r="H193" s="37"/>
      <c r="I193" s="22"/>
      <c r="J193" s="37"/>
      <c r="K193" s="21">
        <f>SUM(B193:J193)</f>
        <v>34452</v>
      </c>
      <c r="L193" s="21"/>
      <c r="M193" s="21">
        <v>32310</v>
      </c>
      <c r="N193" s="21">
        <v>17800</v>
      </c>
      <c r="O193" s="21">
        <v>12798</v>
      </c>
      <c r="P193" s="287">
        <f>IFERROR((+K193-N193)/N193,0)</f>
        <v>0.93550561797752807</v>
      </c>
      <c r="Q193" s="21">
        <v>31743</v>
      </c>
      <c r="R193" s="25"/>
    </row>
    <row r="194" spans="1:18" ht="15.75" x14ac:dyDescent="0.25">
      <c r="A194" s="75" t="s">
        <v>146</v>
      </c>
      <c r="B194" s="37"/>
      <c r="C194" s="22"/>
      <c r="D194" s="37">
        <v>5029</v>
      </c>
      <c r="E194" s="22"/>
      <c r="F194" s="37"/>
      <c r="G194" s="22"/>
      <c r="H194" s="37"/>
      <c r="I194" s="22"/>
      <c r="J194" s="37"/>
      <c r="K194" s="21">
        <f>SUM(B194:J194)</f>
        <v>5029</v>
      </c>
      <c r="L194" s="21"/>
      <c r="M194" s="21">
        <v>4907</v>
      </c>
      <c r="N194" s="21">
        <v>4351</v>
      </c>
      <c r="O194" s="21">
        <v>3263</v>
      </c>
      <c r="P194" s="287">
        <f>IFERROR((+K194-N194)/N194,0)</f>
        <v>0.15582624683980695</v>
      </c>
      <c r="Q194" s="21">
        <v>4649</v>
      </c>
      <c r="R194" s="25"/>
    </row>
    <row r="195" spans="1:18" ht="15.75" x14ac:dyDescent="0.25">
      <c r="A195" s="79" t="s">
        <v>163</v>
      </c>
      <c r="B195" s="60">
        <f t="shared" ref="B195:I195" si="117">SUM(B192:B194)</f>
        <v>0</v>
      </c>
      <c r="C195" s="60">
        <f t="shared" si="117"/>
        <v>0</v>
      </c>
      <c r="D195" s="60">
        <f t="shared" si="117"/>
        <v>105222</v>
      </c>
      <c r="E195" s="60">
        <f t="shared" si="117"/>
        <v>0</v>
      </c>
      <c r="F195" s="60">
        <f t="shared" si="117"/>
        <v>0</v>
      </c>
      <c r="G195" s="60">
        <f t="shared" si="117"/>
        <v>0</v>
      </c>
      <c r="H195" s="60">
        <f t="shared" ref="H195" si="118">SUM(H192:H194)</f>
        <v>0</v>
      </c>
      <c r="I195" s="60">
        <f t="shared" si="117"/>
        <v>0</v>
      </c>
      <c r="J195" s="60">
        <f t="shared" ref="J195" si="119">SUM(J192:J194)</f>
        <v>0</v>
      </c>
      <c r="K195" s="30">
        <f t="shared" ref="K195:O195" si="120">SUM(K192:K194)</f>
        <v>105222</v>
      </c>
      <c r="L195" s="30"/>
      <c r="M195" s="30">
        <f t="shared" si="120"/>
        <v>101355</v>
      </c>
      <c r="N195" s="30">
        <f t="shared" si="120"/>
        <v>82373</v>
      </c>
      <c r="O195" s="30">
        <f t="shared" si="120"/>
        <v>61228</v>
      </c>
      <c r="P195" s="248">
        <f>IFERROR((+K195-N195)/N195,0)</f>
        <v>0.27738457989875326</v>
      </c>
      <c r="Q195" s="30">
        <f t="shared" ref="Q195" si="121">SUM(Q192:Q194)</f>
        <v>100530</v>
      </c>
      <c r="R195" s="25"/>
    </row>
    <row r="196" spans="1:18" ht="26.1" customHeight="1" x14ac:dyDescent="0.25">
      <c r="A196" s="75"/>
      <c r="B196" s="35"/>
      <c r="C196" s="17"/>
      <c r="D196" s="35"/>
      <c r="E196" s="17"/>
      <c r="F196" s="35"/>
      <c r="G196" s="17"/>
      <c r="H196" s="35"/>
      <c r="I196" s="17"/>
      <c r="J196" s="35"/>
      <c r="K196" s="14"/>
      <c r="L196" s="14"/>
      <c r="M196" s="14"/>
      <c r="N196" s="14"/>
      <c r="O196" s="14"/>
      <c r="P196" s="286"/>
      <c r="Q196" s="14"/>
      <c r="R196" s="25"/>
    </row>
    <row r="197" spans="1:18" ht="15.75" x14ac:dyDescent="0.25">
      <c r="A197" s="75" t="s">
        <v>147</v>
      </c>
      <c r="B197" s="37"/>
      <c r="C197" s="22"/>
      <c r="D197" s="37">
        <f>71717-17929</f>
        <v>53788</v>
      </c>
      <c r="E197" s="22"/>
      <c r="F197" s="37"/>
      <c r="G197" s="22"/>
      <c r="H197" s="37"/>
      <c r="I197" s="22"/>
      <c r="J197" s="37"/>
      <c r="K197" s="21">
        <f>SUM(B197:J197)</f>
        <v>53788</v>
      </c>
      <c r="L197" s="21"/>
      <c r="M197" s="21">
        <v>52476</v>
      </c>
      <c r="N197" s="21">
        <v>49272</v>
      </c>
      <c r="O197" s="21">
        <v>41061</v>
      </c>
      <c r="P197" s="287">
        <f>IFERROR((+K197-N197)/N197,0)</f>
        <v>9.1654489365156674E-2</v>
      </c>
      <c r="Q197" s="21">
        <v>52476</v>
      </c>
      <c r="R197" s="25">
        <f>77203*25%</f>
        <v>19300.75</v>
      </c>
    </row>
    <row r="198" spans="1:18" ht="15.75" x14ac:dyDescent="0.25">
      <c r="A198" s="75" t="s">
        <v>148</v>
      </c>
      <c r="B198" s="37"/>
      <c r="C198" s="22"/>
      <c r="D198" s="37">
        <v>19301</v>
      </c>
      <c r="E198" s="22"/>
      <c r="F198" s="37"/>
      <c r="G198" s="22"/>
      <c r="H198" s="37"/>
      <c r="I198" s="22"/>
      <c r="J198" s="37"/>
      <c r="K198" s="21">
        <f>SUM(B198:J198)</f>
        <v>19301</v>
      </c>
      <c r="L198" s="21"/>
      <c r="M198" s="21">
        <v>18830</v>
      </c>
      <c r="N198" s="21">
        <v>17642</v>
      </c>
      <c r="O198" s="21">
        <v>8821</v>
      </c>
      <c r="P198" s="287">
        <f>IFERROR((+K198-N198)/N198,0)</f>
        <v>9.4036957261081508E-2</v>
      </c>
      <c r="Q198" s="21">
        <v>18752</v>
      </c>
      <c r="R198" s="25">
        <f>71717*25%</f>
        <v>17929.25</v>
      </c>
    </row>
    <row r="199" spans="1:18" ht="15.75" x14ac:dyDescent="0.25">
      <c r="A199" s="75" t="s">
        <v>149</v>
      </c>
      <c r="B199" s="37"/>
      <c r="C199" s="22"/>
      <c r="D199" s="37">
        <f>7889+1147+12873</f>
        <v>21909</v>
      </c>
      <c r="E199" s="22"/>
      <c r="F199" s="37"/>
      <c r="G199" s="22"/>
      <c r="H199" s="37"/>
      <c r="I199" s="22"/>
      <c r="J199" s="37"/>
      <c r="K199" s="21">
        <f>SUM(B199:J199)</f>
        <v>21909</v>
      </c>
      <c r="L199" s="21"/>
      <c r="M199" s="21">
        <v>20734</v>
      </c>
      <c r="N199" s="21">
        <v>18479</v>
      </c>
      <c r="O199" s="21">
        <v>13257</v>
      </c>
      <c r="P199" s="287">
        <f>IFERROR((+K199-N199)/N199,0)</f>
        <v>0.18561610476757401</v>
      </c>
      <c r="Q199" s="21">
        <v>20114</v>
      </c>
      <c r="R199" s="25"/>
    </row>
    <row r="200" spans="1:18" ht="15.75" x14ac:dyDescent="0.25">
      <c r="A200" s="75" t="s">
        <v>150</v>
      </c>
      <c r="B200" s="37"/>
      <c r="C200" s="22"/>
      <c r="D200" s="37">
        <f>5486-1371</f>
        <v>4115</v>
      </c>
      <c r="E200" s="22"/>
      <c r="F200" s="37"/>
      <c r="G200" s="22"/>
      <c r="H200" s="37"/>
      <c r="I200" s="22"/>
      <c r="J200" s="37"/>
      <c r="K200" s="21">
        <f>SUM(B200:J200)</f>
        <v>4115</v>
      </c>
      <c r="L200" s="21"/>
      <c r="M200" s="21">
        <v>4015</v>
      </c>
      <c r="N200" s="21">
        <v>3654</v>
      </c>
      <c r="O200" s="21">
        <v>3045</v>
      </c>
      <c r="P200" s="287">
        <f>IFERROR((+K200-N200)/N200,0)</f>
        <v>0.12616310892172961</v>
      </c>
      <c r="Q200" s="21">
        <v>3781</v>
      </c>
      <c r="R200" s="25">
        <f>5486*25%</f>
        <v>1371.5</v>
      </c>
    </row>
    <row r="201" spans="1:18" ht="24" customHeight="1" x14ac:dyDescent="0.25">
      <c r="A201" s="79" t="s">
        <v>164</v>
      </c>
      <c r="B201" s="60">
        <f t="shared" ref="B201:I201" si="122">SUM(B197:B200)</f>
        <v>0</v>
      </c>
      <c r="C201" s="60">
        <f t="shared" si="122"/>
        <v>0</v>
      </c>
      <c r="D201" s="60">
        <f t="shared" si="122"/>
        <v>99113</v>
      </c>
      <c r="E201" s="60">
        <f t="shared" si="122"/>
        <v>0</v>
      </c>
      <c r="F201" s="60">
        <f t="shared" si="122"/>
        <v>0</v>
      </c>
      <c r="G201" s="60">
        <f t="shared" si="122"/>
        <v>0</v>
      </c>
      <c r="H201" s="60">
        <f t="shared" ref="H201" si="123">SUM(H197:H200)</f>
        <v>0</v>
      </c>
      <c r="I201" s="60">
        <f t="shared" si="122"/>
        <v>0</v>
      </c>
      <c r="J201" s="60">
        <f t="shared" ref="J201" si="124">SUM(J197:J200)</f>
        <v>0</v>
      </c>
      <c r="K201" s="30">
        <f t="shared" ref="K201:O201" si="125">SUM(K197:K200)</f>
        <v>99113</v>
      </c>
      <c r="L201" s="30"/>
      <c r="M201" s="30">
        <f t="shared" si="125"/>
        <v>96055</v>
      </c>
      <c r="N201" s="30">
        <f t="shared" si="125"/>
        <v>89047</v>
      </c>
      <c r="O201" s="30">
        <f t="shared" si="125"/>
        <v>66184</v>
      </c>
      <c r="P201" s="248">
        <f>IFERROR((+K201-N201)/N201,0)</f>
        <v>0.11304142756072635</v>
      </c>
      <c r="Q201" s="30">
        <f t="shared" ref="Q201" si="126">SUM(Q197:Q200)</f>
        <v>95123</v>
      </c>
      <c r="R201" s="25"/>
    </row>
    <row r="202" spans="1:18" ht="15.75" x14ac:dyDescent="0.25">
      <c r="A202" s="85"/>
      <c r="B202" s="48"/>
      <c r="C202" s="47"/>
      <c r="D202" s="48"/>
      <c r="E202" s="47"/>
      <c r="F202" s="48"/>
      <c r="G202" s="47"/>
      <c r="H202" s="48"/>
      <c r="I202" s="47"/>
      <c r="J202" s="48"/>
      <c r="K202" s="46"/>
      <c r="L202" s="46"/>
      <c r="M202" s="46"/>
      <c r="N202" s="46"/>
      <c r="O202" s="46"/>
      <c r="P202" s="290"/>
      <c r="Q202" s="46"/>
      <c r="R202" s="25"/>
    </row>
    <row r="203" spans="1:18" ht="15.75" x14ac:dyDescent="0.25">
      <c r="A203" s="75" t="s">
        <v>128</v>
      </c>
      <c r="B203" s="35"/>
      <c r="C203" s="17"/>
      <c r="D203" s="35">
        <f>47236-11809</f>
        <v>35427</v>
      </c>
      <c r="E203" s="17"/>
      <c r="F203" s="35"/>
      <c r="G203" s="17"/>
      <c r="H203" s="35"/>
      <c r="I203" s="17"/>
      <c r="J203" s="35"/>
      <c r="K203" s="21">
        <f>SUM(B203:J203)</f>
        <v>35427</v>
      </c>
      <c r="L203" s="21"/>
      <c r="M203" s="21">
        <v>34564</v>
      </c>
      <c r="N203" s="21">
        <v>19743</v>
      </c>
      <c r="O203" s="21">
        <v>16807</v>
      </c>
      <c r="P203" s="287">
        <f>IFERROR((+K203-N203)/N203,0)</f>
        <v>0.79440814465886644</v>
      </c>
      <c r="Q203" s="21">
        <v>28853</v>
      </c>
      <c r="R203" s="25">
        <f>47236*25%</f>
        <v>11809</v>
      </c>
    </row>
    <row r="204" spans="1:18" ht="15.75" x14ac:dyDescent="0.25">
      <c r="A204" s="75" t="s">
        <v>129</v>
      </c>
      <c r="B204" s="35"/>
      <c r="C204" s="17"/>
      <c r="D204" s="37">
        <v>12713</v>
      </c>
      <c r="E204" s="17"/>
      <c r="F204" s="35"/>
      <c r="G204" s="17"/>
      <c r="H204" s="35"/>
      <c r="I204" s="17"/>
      <c r="J204" s="35"/>
      <c r="K204" s="21">
        <f>SUM(B204:J204)</f>
        <v>12713</v>
      </c>
      <c r="L204" s="21"/>
      <c r="M204" s="21">
        <v>12402</v>
      </c>
      <c r="N204" s="21">
        <v>7084</v>
      </c>
      <c r="O204" s="21">
        <v>3763</v>
      </c>
      <c r="P204" s="287">
        <f>IFERROR((+K204-N204)/N204,0)</f>
        <v>0.79460756634669683</v>
      </c>
      <c r="Q204" s="21">
        <v>10353</v>
      </c>
      <c r="R204" s="25">
        <f>+R203+R205</f>
        <v>12712.5</v>
      </c>
    </row>
    <row r="205" spans="1:18" ht="15.75" x14ac:dyDescent="0.25">
      <c r="A205" s="75" t="s">
        <v>130</v>
      </c>
      <c r="B205" s="35"/>
      <c r="C205" s="17"/>
      <c r="D205" s="35">
        <f>3614-904</f>
        <v>2710</v>
      </c>
      <c r="E205" s="17"/>
      <c r="F205" s="35"/>
      <c r="G205" s="17"/>
      <c r="H205" s="35"/>
      <c r="I205" s="17"/>
      <c r="J205" s="35"/>
      <c r="K205" s="21">
        <f>SUM(B205:J205)</f>
        <v>2710</v>
      </c>
      <c r="L205" s="21"/>
      <c r="M205" s="21">
        <v>2644</v>
      </c>
      <c r="N205" s="21">
        <v>1510</v>
      </c>
      <c r="O205" s="21">
        <v>1286</v>
      </c>
      <c r="P205" s="287">
        <f>IFERROR((+K205-N205)/N205,0)</f>
        <v>0.79470198675496684</v>
      </c>
      <c r="Q205" s="21">
        <v>2207</v>
      </c>
      <c r="R205" s="25">
        <f>3614*25%</f>
        <v>903.5</v>
      </c>
    </row>
    <row r="206" spans="1:18" ht="15.75" x14ac:dyDescent="0.25">
      <c r="A206" s="79" t="s">
        <v>131</v>
      </c>
      <c r="B206" s="60">
        <f>SUM(B203:B205)</f>
        <v>0</v>
      </c>
      <c r="C206" s="60">
        <f t="shared" ref="C206:I206" si="127">SUM(C203:C205)</f>
        <v>0</v>
      </c>
      <c r="D206" s="60">
        <f t="shared" si="127"/>
        <v>50850</v>
      </c>
      <c r="E206" s="60">
        <f t="shared" si="127"/>
        <v>0</v>
      </c>
      <c r="F206" s="60">
        <f t="shared" si="127"/>
        <v>0</v>
      </c>
      <c r="G206" s="60">
        <f t="shared" si="127"/>
        <v>0</v>
      </c>
      <c r="H206" s="60">
        <f t="shared" ref="H206" si="128">SUM(H203:H205)</f>
        <v>0</v>
      </c>
      <c r="I206" s="60">
        <f t="shared" si="127"/>
        <v>0</v>
      </c>
      <c r="J206" s="60">
        <f t="shared" ref="J206" si="129">SUM(J203:J205)</f>
        <v>0</v>
      </c>
      <c r="K206" s="102">
        <f t="shared" ref="K206:O206" si="130">SUM(K202:K205)</f>
        <v>50850</v>
      </c>
      <c r="L206" s="102"/>
      <c r="M206" s="102">
        <f t="shared" ref="M206:N206" si="131">SUM(M202:M205)</f>
        <v>49610</v>
      </c>
      <c r="N206" s="102">
        <f t="shared" si="131"/>
        <v>28337</v>
      </c>
      <c r="O206" s="102">
        <f t="shared" si="130"/>
        <v>21856</v>
      </c>
      <c r="P206" s="248">
        <f>IFERROR((+K206-N206)/N206,0)</f>
        <v>0.79447365635035461</v>
      </c>
      <c r="Q206" s="102">
        <f t="shared" ref="Q206" si="132">SUM(Q202:Q205)</f>
        <v>41413</v>
      </c>
      <c r="R206" s="70"/>
    </row>
    <row r="207" spans="1:18" ht="23.1" customHeight="1" x14ac:dyDescent="0.25">
      <c r="A207" s="75"/>
      <c r="B207" s="37"/>
      <c r="C207" s="22"/>
      <c r="D207" s="37"/>
      <c r="E207" s="22"/>
      <c r="F207" s="37"/>
      <c r="G207" s="22"/>
      <c r="H207" s="37"/>
      <c r="I207" s="22"/>
      <c r="J207" s="37"/>
      <c r="K207" s="38"/>
      <c r="L207" s="38"/>
      <c r="M207" s="38"/>
      <c r="N207" s="38"/>
      <c r="O207" s="38"/>
      <c r="P207" s="289"/>
      <c r="Q207" s="38"/>
      <c r="R207" s="25"/>
    </row>
    <row r="208" spans="1:18" ht="15.75" x14ac:dyDescent="0.25">
      <c r="A208" s="104" t="s">
        <v>78</v>
      </c>
      <c r="B208" s="60">
        <f>+B187+B195+B201+B206</f>
        <v>0</v>
      </c>
      <c r="C208" s="60">
        <f>+C187+C195+C201+C206</f>
        <v>0</v>
      </c>
      <c r="D208" s="60">
        <f>+D187+D195+D201+D206+D190</f>
        <v>329770</v>
      </c>
      <c r="E208" s="60">
        <f t="shared" ref="E208:J208" si="133">+E187+E195+E201+E206</f>
        <v>0</v>
      </c>
      <c r="F208" s="60">
        <f t="shared" si="133"/>
        <v>0</v>
      </c>
      <c r="G208" s="60">
        <f t="shared" si="133"/>
        <v>0</v>
      </c>
      <c r="H208" s="60">
        <f t="shared" si="133"/>
        <v>0</v>
      </c>
      <c r="I208" s="60">
        <f t="shared" si="133"/>
        <v>0</v>
      </c>
      <c r="J208" s="60">
        <f t="shared" si="133"/>
        <v>0</v>
      </c>
      <c r="K208" s="30">
        <f>+K187+K195+K201+K206+K190</f>
        <v>329770</v>
      </c>
      <c r="L208" s="30"/>
      <c r="M208" s="30">
        <f>+M187+M195+M201+M206+M190</f>
        <v>335386</v>
      </c>
      <c r="N208" s="30">
        <f>+N187+N195+N201+N206+N190</f>
        <v>247587</v>
      </c>
      <c r="O208" s="30">
        <f>+O187+O195+O201+O206+O190</f>
        <v>184812</v>
      </c>
      <c r="P208" s="248">
        <f>IFERROR((+K208-N208)/N208,0)</f>
        <v>0.33193584477375632</v>
      </c>
      <c r="Q208" s="30">
        <f>+Q187+Q195+Q201+Q206+Q190</f>
        <v>285519</v>
      </c>
    </row>
    <row r="209" spans="1:18" ht="15.75" x14ac:dyDescent="0.25">
      <c r="A209" s="75"/>
      <c r="B209" s="37"/>
      <c r="C209" s="22"/>
      <c r="D209" s="37"/>
      <c r="E209" s="22"/>
      <c r="F209" s="37"/>
      <c r="G209" s="22"/>
      <c r="H209" s="37"/>
      <c r="I209" s="22"/>
      <c r="J209" s="37"/>
      <c r="K209" s="38"/>
      <c r="L209" s="38"/>
      <c r="M209" s="38"/>
      <c r="N209" s="38"/>
      <c r="O209" s="38"/>
      <c r="P209" s="289"/>
      <c r="Q209" s="38"/>
    </row>
    <row r="210" spans="1:18" ht="15.75" x14ac:dyDescent="0.25">
      <c r="A210" s="104" t="s">
        <v>79</v>
      </c>
      <c r="B210" s="60">
        <f t="shared" ref="B210:K210" si="134">+B160+B178+B183+B208</f>
        <v>84870</v>
      </c>
      <c r="C210" s="60">
        <f t="shared" si="134"/>
        <v>0</v>
      </c>
      <c r="D210" s="60">
        <f t="shared" si="134"/>
        <v>365680</v>
      </c>
      <c r="E210" s="60">
        <f t="shared" si="134"/>
        <v>0</v>
      </c>
      <c r="F210" s="60">
        <f t="shared" si="134"/>
        <v>0</v>
      </c>
      <c r="G210" s="60">
        <f t="shared" si="134"/>
        <v>0</v>
      </c>
      <c r="H210" s="60">
        <f t="shared" si="134"/>
        <v>0</v>
      </c>
      <c r="I210" s="60">
        <f t="shared" si="134"/>
        <v>0</v>
      </c>
      <c r="J210" s="60">
        <f t="shared" si="134"/>
        <v>0</v>
      </c>
      <c r="K210" s="30">
        <f t="shared" si="134"/>
        <v>450550</v>
      </c>
      <c r="L210" s="30"/>
      <c r="M210" s="30">
        <f>+M160+M178+M183+M208</f>
        <v>462554</v>
      </c>
      <c r="N210" s="30">
        <f>+N160+N178+N183+N208</f>
        <v>366364</v>
      </c>
      <c r="O210" s="30">
        <f>+O160+O178+O183+O208</f>
        <v>274424</v>
      </c>
      <c r="P210" s="248">
        <f>IFERROR((+K210-N210)/N210,0)</f>
        <v>0.22978786125274317</v>
      </c>
      <c r="Q210" s="30">
        <f>+Q160+Q178+Q183+Q208</f>
        <v>406938</v>
      </c>
    </row>
    <row r="211" spans="1:18" ht="15.75" x14ac:dyDescent="0.25">
      <c r="A211" s="75"/>
      <c r="B211" s="35"/>
      <c r="C211" s="17"/>
      <c r="D211" s="35"/>
      <c r="E211" s="17"/>
      <c r="F211" s="35"/>
      <c r="G211" s="17"/>
      <c r="H211" s="35"/>
      <c r="I211" s="17"/>
      <c r="J211" s="35"/>
      <c r="K211" s="14"/>
      <c r="L211" s="14"/>
      <c r="M211" s="14"/>
      <c r="N211" s="14"/>
      <c r="O211" s="14"/>
      <c r="P211" s="286"/>
      <c r="Q211" s="14"/>
    </row>
    <row r="212" spans="1:18" ht="24" customHeight="1" x14ac:dyDescent="0.25">
      <c r="A212" s="76" t="s">
        <v>80</v>
      </c>
      <c r="B212" s="35"/>
      <c r="C212" s="17"/>
      <c r="D212" s="35"/>
      <c r="E212" s="17"/>
      <c r="F212" s="35"/>
      <c r="G212" s="17"/>
      <c r="H212" s="35"/>
      <c r="I212" s="17"/>
      <c r="J212" s="35"/>
      <c r="K212" s="14"/>
      <c r="L212" s="14"/>
      <c r="M212" s="14"/>
      <c r="N212" s="14"/>
      <c r="O212" s="14"/>
      <c r="P212" s="286"/>
      <c r="Q212" s="14"/>
    </row>
    <row r="213" spans="1:18" ht="15.75" x14ac:dyDescent="0.25">
      <c r="A213" s="75" t="s">
        <v>81</v>
      </c>
      <c r="B213" s="36">
        <v>1200</v>
      </c>
      <c r="C213" s="22"/>
      <c r="D213" s="37"/>
      <c r="E213" s="22"/>
      <c r="F213" s="37"/>
      <c r="G213" s="22"/>
      <c r="H213" s="37"/>
      <c r="I213" s="22"/>
      <c r="J213" s="37"/>
      <c r="K213" s="21">
        <f>SUM(B213:J213)</f>
        <v>1200</v>
      </c>
      <c r="L213" s="21"/>
      <c r="M213" s="21">
        <v>1700</v>
      </c>
      <c r="N213" s="21">
        <v>2165</v>
      </c>
      <c r="O213" s="21">
        <v>2077</v>
      </c>
      <c r="P213" s="287">
        <f>IFERROR((+N213-K213)/N213,0)</f>
        <v>0.44572748267898382</v>
      </c>
      <c r="Q213" s="21">
        <v>0</v>
      </c>
      <c r="R213" s="69"/>
    </row>
    <row r="214" spans="1:18" ht="15.75" customHeight="1" x14ac:dyDescent="0.25">
      <c r="A214" s="75" t="s">
        <v>82</v>
      </c>
      <c r="B214" s="36">
        <v>600</v>
      </c>
      <c r="C214" s="22"/>
      <c r="D214" s="37"/>
      <c r="E214" s="22"/>
      <c r="F214" s="37"/>
      <c r="G214" s="22"/>
      <c r="H214" s="37"/>
      <c r="I214" s="22"/>
      <c r="J214" s="37"/>
      <c r="K214" s="21">
        <f>SUM(B214:J214)</f>
        <v>600</v>
      </c>
      <c r="L214" s="21"/>
      <c r="M214" s="21">
        <v>850</v>
      </c>
      <c r="N214" s="21">
        <v>0</v>
      </c>
      <c r="O214" s="21">
        <v>0</v>
      </c>
      <c r="P214" s="287">
        <f>IFERROR((+N214-K214)/N214,0)</f>
        <v>0</v>
      </c>
      <c r="Q214" s="21">
        <v>0</v>
      </c>
    </row>
    <row r="215" spans="1:18" ht="15.75" customHeight="1" x14ac:dyDescent="0.25">
      <c r="A215" s="75" t="s">
        <v>83</v>
      </c>
      <c r="B215" s="36">
        <v>1000</v>
      </c>
      <c r="C215" s="22"/>
      <c r="D215" s="37"/>
      <c r="E215" s="22"/>
      <c r="F215" s="37"/>
      <c r="G215" s="22"/>
      <c r="H215" s="37"/>
      <c r="I215" s="22"/>
      <c r="J215" s="37"/>
      <c r="K215" s="21">
        <f>SUM(B215:J215)</f>
        <v>1000</v>
      </c>
      <c r="L215" s="21"/>
      <c r="M215" s="21">
        <v>1700</v>
      </c>
      <c r="N215" s="21">
        <v>1736</v>
      </c>
      <c r="O215" s="21">
        <v>143</v>
      </c>
      <c r="P215" s="287">
        <f>IFERROR((+N215-K215)/N215,0)</f>
        <v>0.42396313364055299</v>
      </c>
      <c r="Q215" s="21">
        <v>1063</v>
      </c>
      <c r="R215" s="69" t="s">
        <v>419</v>
      </c>
    </row>
    <row r="216" spans="1:18" ht="15.75" customHeight="1" x14ac:dyDescent="0.25">
      <c r="A216" s="75" t="s">
        <v>84</v>
      </c>
      <c r="B216" s="36">
        <v>700</v>
      </c>
      <c r="C216" s="22"/>
      <c r="D216" s="37"/>
      <c r="E216" s="22"/>
      <c r="F216" s="37"/>
      <c r="G216" s="22"/>
      <c r="H216" s="37"/>
      <c r="I216" s="22"/>
      <c r="J216" s="37"/>
      <c r="K216" s="21">
        <f>SUM(B216:J216)</f>
        <v>700</v>
      </c>
      <c r="L216" s="21"/>
      <c r="M216" s="21">
        <v>1700</v>
      </c>
      <c r="N216" s="21">
        <v>0</v>
      </c>
      <c r="O216" s="21">
        <v>0</v>
      </c>
      <c r="P216" s="287">
        <f>IFERROR((+N216-K216)/N216,0)</f>
        <v>0</v>
      </c>
      <c r="Q216" s="21">
        <v>0</v>
      </c>
    </row>
    <row r="217" spans="1:18" ht="15.75" customHeight="1" x14ac:dyDescent="0.25">
      <c r="A217" s="75" t="s">
        <v>309</v>
      </c>
      <c r="B217" s="36"/>
      <c r="C217" s="22"/>
      <c r="D217" s="37"/>
      <c r="E217" s="22"/>
      <c r="F217" s="37"/>
      <c r="G217" s="22"/>
      <c r="H217" s="37"/>
      <c r="I217" s="22"/>
      <c r="J217" s="36">
        <v>20000</v>
      </c>
      <c r="K217" s="21">
        <f>SUM(B217:J217)</f>
        <v>20000</v>
      </c>
      <c r="L217" s="21"/>
      <c r="M217" s="21">
        <v>20000</v>
      </c>
      <c r="N217" s="21"/>
      <c r="O217" s="21"/>
      <c r="P217" s="287"/>
      <c r="Q217" s="21">
        <v>20000</v>
      </c>
      <c r="R217" s="25" t="s">
        <v>411</v>
      </c>
    </row>
    <row r="218" spans="1:18" ht="15.75" x14ac:dyDescent="0.25">
      <c r="A218" s="79" t="s">
        <v>85</v>
      </c>
      <c r="B218" s="422">
        <f>SUM(B213:B217)</f>
        <v>3500</v>
      </c>
      <c r="C218" s="348">
        <f>SUM(C213:C217)</f>
        <v>0</v>
      </c>
      <c r="D218" s="348">
        <f t="shared" ref="D218:J218" si="135">SUM(D213:D217)</f>
        <v>0</v>
      </c>
      <c r="E218" s="348">
        <f t="shared" si="135"/>
        <v>0</v>
      </c>
      <c r="F218" s="348">
        <f t="shared" si="135"/>
        <v>0</v>
      </c>
      <c r="G218" s="348">
        <f t="shared" si="135"/>
        <v>0</v>
      </c>
      <c r="H218" s="348">
        <f t="shared" si="135"/>
        <v>0</v>
      </c>
      <c r="I218" s="348">
        <f t="shared" si="135"/>
        <v>0</v>
      </c>
      <c r="J218" s="422">
        <f t="shared" si="135"/>
        <v>20000</v>
      </c>
      <c r="K218" s="30">
        <f>SUM(K213:K217)</f>
        <v>23500</v>
      </c>
      <c r="L218" s="30"/>
      <c r="M218" s="30">
        <f t="shared" ref="M218:N218" si="136">SUM(M213:M217)</f>
        <v>25950</v>
      </c>
      <c r="N218" s="30">
        <f t="shared" si="136"/>
        <v>3901</v>
      </c>
      <c r="O218" s="30">
        <f t="shared" ref="O218" si="137">SUM(O213:O216)</f>
        <v>2220</v>
      </c>
      <c r="P218" s="248">
        <f>IFERROR((+K218-N218)/N218,0)</f>
        <v>5.024096385542169</v>
      </c>
      <c r="Q218" s="30">
        <f t="shared" ref="Q218" si="138">SUM(Q213:Q217)</f>
        <v>21063</v>
      </c>
      <c r="R218" s="69"/>
    </row>
    <row r="219" spans="1:18" ht="15.75" x14ac:dyDescent="0.25">
      <c r="A219" s="75"/>
      <c r="B219" s="37"/>
      <c r="C219" s="22"/>
      <c r="D219" s="37"/>
      <c r="E219" s="22"/>
      <c r="F219" s="37"/>
      <c r="G219" s="22"/>
      <c r="H219" s="37"/>
      <c r="I219" s="22"/>
      <c r="J219" s="37"/>
      <c r="K219" s="38"/>
      <c r="L219" s="38"/>
      <c r="M219" s="38"/>
      <c r="N219" s="38"/>
      <c r="O219" s="38"/>
      <c r="P219" s="289"/>
      <c r="Q219" s="38"/>
    </row>
    <row r="220" spans="1:18" ht="15.75" x14ac:dyDescent="0.25">
      <c r="A220" s="76" t="s">
        <v>409</v>
      </c>
      <c r="B220" s="37"/>
      <c r="C220" s="22"/>
      <c r="D220" s="37"/>
      <c r="E220" s="22"/>
      <c r="F220" s="37"/>
      <c r="G220" s="22"/>
      <c r="H220" s="37"/>
      <c r="I220" s="22"/>
      <c r="J220" s="37"/>
      <c r="K220" s="38"/>
      <c r="L220" s="38"/>
      <c r="M220" s="38"/>
      <c r="N220" s="38"/>
      <c r="O220" s="38"/>
      <c r="P220" s="289"/>
      <c r="Q220" s="38"/>
      <c r="R220" s="71"/>
    </row>
    <row r="221" spans="1:18" ht="15.75" x14ac:dyDescent="0.25">
      <c r="A221" s="75" t="s">
        <v>399</v>
      </c>
      <c r="B221" s="36">
        <v>5100</v>
      </c>
      <c r="C221" s="22"/>
      <c r="D221" s="37"/>
      <c r="E221" s="22"/>
      <c r="F221" s="37"/>
      <c r="G221" s="22"/>
      <c r="H221" s="37"/>
      <c r="I221" s="22"/>
      <c r="J221" s="37"/>
      <c r="K221" s="21">
        <f>SUM(B221:J221)</f>
        <v>5100</v>
      </c>
      <c r="L221" s="21"/>
      <c r="M221" s="21">
        <v>3400</v>
      </c>
      <c r="N221" s="21">
        <v>5499</v>
      </c>
      <c r="O221" s="21">
        <v>-100</v>
      </c>
      <c r="P221" s="287">
        <f>IFERROR((+K221-N221)/N221,0)</f>
        <v>-7.2558647026732134E-2</v>
      </c>
      <c r="Q221" s="21">
        <v>4350</v>
      </c>
      <c r="R221" s="24" t="s">
        <v>430</v>
      </c>
    </row>
    <row r="222" spans="1:18" ht="15.75" x14ac:dyDescent="0.25">
      <c r="A222" s="79" t="s">
        <v>410</v>
      </c>
      <c r="B222" s="60">
        <f t="shared" ref="B222:K222" si="139">SUM(B221:B221)</f>
        <v>5100</v>
      </c>
      <c r="C222" s="60">
        <f t="shared" si="139"/>
        <v>0</v>
      </c>
      <c r="D222" s="60">
        <f t="shared" si="139"/>
        <v>0</v>
      </c>
      <c r="E222" s="60">
        <f t="shared" si="139"/>
        <v>0</v>
      </c>
      <c r="F222" s="60">
        <f t="shared" si="139"/>
        <v>0</v>
      </c>
      <c r="G222" s="60">
        <f t="shared" si="139"/>
        <v>0</v>
      </c>
      <c r="H222" s="60">
        <f t="shared" si="139"/>
        <v>0</v>
      </c>
      <c r="I222" s="60">
        <f t="shared" si="139"/>
        <v>0</v>
      </c>
      <c r="J222" s="60">
        <f t="shared" si="139"/>
        <v>0</v>
      </c>
      <c r="K222" s="30">
        <f t="shared" si="139"/>
        <v>5100</v>
      </c>
      <c r="L222" s="30"/>
      <c r="M222" s="30">
        <f>SUM(M221:M221)</f>
        <v>3400</v>
      </c>
      <c r="N222" s="30">
        <f>SUM(N221:N221)</f>
        <v>5499</v>
      </c>
      <c r="O222" s="30">
        <f>SUM(O221:O221)</f>
        <v>-100</v>
      </c>
      <c r="P222" s="248">
        <f>IFERROR((+K222-N222)/N222,0)</f>
        <v>-7.2558647026732134E-2</v>
      </c>
      <c r="Q222" s="30">
        <f>SUM(Q221:Q221)</f>
        <v>4350</v>
      </c>
    </row>
    <row r="223" spans="1:18" ht="24" customHeight="1" x14ac:dyDescent="0.25">
      <c r="A223" s="75"/>
      <c r="B223" s="37"/>
      <c r="C223" s="22"/>
      <c r="D223" s="37"/>
      <c r="E223" s="22"/>
      <c r="F223" s="37"/>
      <c r="G223" s="22"/>
      <c r="H223" s="37"/>
      <c r="I223" s="22"/>
      <c r="J223" s="37"/>
      <c r="K223" s="38"/>
      <c r="L223" s="38"/>
      <c r="M223" s="38"/>
      <c r="N223" s="38"/>
      <c r="O223" s="38"/>
      <c r="P223" s="289"/>
      <c r="Q223" s="38"/>
    </row>
    <row r="224" spans="1:18" ht="15.75" x14ac:dyDescent="0.25">
      <c r="A224" s="76" t="s">
        <v>19</v>
      </c>
      <c r="B224" s="35"/>
      <c r="C224" s="17"/>
      <c r="D224" s="35"/>
      <c r="E224" s="17"/>
      <c r="F224" s="35"/>
      <c r="G224" s="17"/>
      <c r="H224" s="35"/>
      <c r="I224" s="17"/>
      <c r="J224" s="35"/>
      <c r="K224" s="14"/>
      <c r="L224" s="14"/>
      <c r="M224" s="14"/>
      <c r="N224" s="14"/>
      <c r="O224" s="14"/>
      <c r="P224" s="286"/>
      <c r="Q224" s="14"/>
    </row>
    <row r="225" spans="1:18" ht="15.75" x14ac:dyDescent="0.25">
      <c r="A225" s="75" t="s">
        <v>89</v>
      </c>
      <c r="B225" s="37">
        <f>124428-53000</f>
        <v>71428</v>
      </c>
      <c r="C225" s="22"/>
      <c r="D225" s="37"/>
      <c r="E225" s="22"/>
      <c r="F225" s="37"/>
      <c r="G225" s="22"/>
      <c r="H225" s="37"/>
      <c r="I225" s="22"/>
      <c r="J225" s="37"/>
      <c r="K225" s="21">
        <f t="shared" ref="K225:K230" si="140">SUM(B225:J225)</f>
        <v>71428</v>
      </c>
      <c r="L225" s="21"/>
      <c r="M225" s="21">
        <v>68393</v>
      </c>
      <c r="N225" s="21">
        <v>68390</v>
      </c>
      <c r="O225" s="21">
        <v>51292</v>
      </c>
      <c r="P225" s="287">
        <f t="shared" ref="P225:P231" si="141">IFERROR((+K225-N225)/N225,0)</f>
        <v>4.4421699078812694E-2</v>
      </c>
      <c r="Q225" s="21">
        <v>68393</v>
      </c>
    </row>
    <row r="226" spans="1:18" ht="15.75" x14ac:dyDescent="0.25">
      <c r="A226" s="75" t="s">
        <v>90</v>
      </c>
      <c r="B226" s="37">
        <v>53000</v>
      </c>
      <c r="C226" s="22"/>
      <c r="D226" s="37"/>
      <c r="E226" s="22"/>
      <c r="F226" s="37"/>
      <c r="G226" s="22"/>
      <c r="H226" s="37"/>
      <c r="I226" s="22"/>
      <c r="J226" s="37"/>
      <c r="K226" s="21">
        <f t="shared" si="140"/>
        <v>53000</v>
      </c>
      <c r="L226" s="21"/>
      <c r="M226" s="21">
        <v>53000</v>
      </c>
      <c r="N226" s="21">
        <v>45593</v>
      </c>
      <c r="O226" s="21">
        <v>34195</v>
      </c>
      <c r="P226" s="287">
        <f t="shared" si="141"/>
        <v>0.16245914943083367</v>
      </c>
      <c r="Q226" s="21">
        <v>53000</v>
      </c>
      <c r="R226" s="25"/>
    </row>
    <row r="227" spans="1:18" ht="15.75" x14ac:dyDescent="0.25">
      <c r="A227" s="75" t="s">
        <v>91</v>
      </c>
      <c r="B227" s="37">
        <f>10576+1866+21975</f>
        <v>34417</v>
      </c>
      <c r="C227" s="22"/>
      <c r="D227" s="37"/>
      <c r="E227" s="22"/>
      <c r="F227" s="37"/>
      <c r="G227" s="22"/>
      <c r="H227" s="37"/>
      <c r="I227" s="22"/>
      <c r="J227" s="37"/>
      <c r="K227" s="21">
        <f t="shared" si="140"/>
        <v>34417</v>
      </c>
      <c r="L227" s="21"/>
      <c r="M227" s="21">
        <v>32450</v>
      </c>
      <c r="N227" s="21">
        <v>27197</v>
      </c>
      <c r="O227" s="21">
        <v>20398</v>
      </c>
      <c r="P227" s="287">
        <f t="shared" si="141"/>
        <v>0.26547045630032723</v>
      </c>
      <c r="Q227" s="21">
        <v>32450</v>
      </c>
      <c r="R227" s="25"/>
    </row>
    <row r="228" spans="1:18" ht="15.75" customHeight="1" x14ac:dyDescent="0.25">
      <c r="A228" s="75" t="s">
        <v>92</v>
      </c>
      <c r="B228" s="37">
        <v>9519</v>
      </c>
      <c r="C228" s="22"/>
      <c r="D228" s="37"/>
      <c r="E228" s="22"/>
      <c r="F228" s="37"/>
      <c r="G228" s="22"/>
      <c r="H228" s="37"/>
      <c r="I228" s="22"/>
      <c r="J228" s="37"/>
      <c r="K228" s="21">
        <f t="shared" si="140"/>
        <v>9519</v>
      </c>
      <c r="L228" s="21"/>
      <c r="M228" s="21">
        <v>9287</v>
      </c>
      <c r="N228" s="21">
        <v>8720</v>
      </c>
      <c r="O228" s="21">
        <v>6540</v>
      </c>
      <c r="P228" s="287">
        <f t="shared" si="141"/>
        <v>9.1628440366972472E-2</v>
      </c>
      <c r="Q228" s="21">
        <v>9287</v>
      </c>
      <c r="R228" s="25"/>
    </row>
    <row r="229" spans="1:18" ht="15.75" x14ac:dyDescent="0.25">
      <c r="A229" s="75" t="s">
        <v>93</v>
      </c>
      <c r="B229" s="37">
        <v>2000</v>
      </c>
      <c r="C229" s="22"/>
      <c r="D229" s="37"/>
      <c r="E229" s="22"/>
      <c r="F229" s="37"/>
      <c r="G229" s="22"/>
      <c r="H229" s="37"/>
      <c r="I229" s="22"/>
      <c r="J229" s="37"/>
      <c r="K229" s="21">
        <f t="shared" si="140"/>
        <v>2000</v>
      </c>
      <c r="L229" s="21"/>
      <c r="M229" s="21">
        <v>2000</v>
      </c>
      <c r="N229" s="21">
        <v>2000</v>
      </c>
      <c r="O229" s="21">
        <v>1000</v>
      </c>
      <c r="P229" s="287">
        <f t="shared" si="141"/>
        <v>0</v>
      </c>
      <c r="Q229" s="21">
        <v>2000</v>
      </c>
      <c r="R229" s="25"/>
    </row>
    <row r="230" spans="1:18" ht="15.75" x14ac:dyDescent="0.25">
      <c r="A230" s="75" t="s">
        <v>151</v>
      </c>
      <c r="B230" s="37">
        <f>6000+11500</f>
        <v>17500</v>
      </c>
      <c r="C230" s="22"/>
      <c r="D230" s="37"/>
      <c r="E230" s="22"/>
      <c r="F230" s="37"/>
      <c r="G230" s="22"/>
      <c r="H230" s="37"/>
      <c r="I230" s="22"/>
      <c r="J230" s="37"/>
      <c r="K230" s="21">
        <f t="shared" si="140"/>
        <v>17500</v>
      </c>
      <c r="L230" s="21"/>
      <c r="M230" s="21">
        <v>17500</v>
      </c>
      <c r="N230" s="21">
        <v>12125</v>
      </c>
      <c r="O230" s="21">
        <v>8757</v>
      </c>
      <c r="P230" s="287">
        <f t="shared" si="141"/>
        <v>0.44329896907216493</v>
      </c>
      <c r="Q230" s="21">
        <v>10495</v>
      </c>
      <c r="R230" s="25"/>
    </row>
    <row r="231" spans="1:18" ht="15.75" x14ac:dyDescent="0.25">
      <c r="A231" s="79" t="s">
        <v>94</v>
      </c>
      <c r="B231" s="60">
        <f t="shared" ref="B231:I231" si="142">SUM(B225:B230)</f>
        <v>187864</v>
      </c>
      <c r="C231" s="60">
        <f t="shared" si="142"/>
        <v>0</v>
      </c>
      <c r="D231" s="60">
        <f t="shared" si="142"/>
        <v>0</v>
      </c>
      <c r="E231" s="60">
        <f t="shared" si="142"/>
        <v>0</v>
      </c>
      <c r="F231" s="60">
        <f t="shared" si="142"/>
        <v>0</v>
      </c>
      <c r="G231" s="60">
        <f t="shared" si="142"/>
        <v>0</v>
      </c>
      <c r="H231" s="60">
        <f t="shared" ref="H231" si="143">SUM(H225:H230)</f>
        <v>0</v>
      </c>
      <c r="I231" s="60">
        <f t="shared" si="142"/>
        <v>0</v>
      </c>
      <c r="J231" s="60">
        <f t="shared" ref="J231" si="144">SUM(J225:J230)</f>
        <v>0</v>
      </c>
      <c r="K231" s="30">
        <f t="shared" ref="K231:O231" si="145">SUM(K225:K230)</f>
        <v>187864</v>
      </c>
      <c r="L231" s="30"/>
      <c r="M231" s="30">
        <f t="shared" si="145"/>
        <v>182630</v>
      </c>
      <c r="N231" s="30">
        <f t="shared" si="145"/>
        <v>164025</v>
      </c>
      <c r="O231" s="30">
        <f t="shared" si="145"/>
        <v>122182</v>
      </c>
      <c r="P231" s="248">
        <f t="shared" si="141"/>
        <v>0.14533760097546106</v>
      </c>
      <c r="Q231" s="30">
        <f t="shared" ref="Q231" si="146">SUM(Q225:Q230)</f>
        <v>175625</v>
      </c>
      <c r="R231" s="25"/>
    </row>
    <row r="232" spans="1:18" ht="15.75" x14ac:dyDescent="0.25">
      <c r="A232" s="75"/>
      <c r="B232" s="35"/>
      <c r="C232" s="17"/>
      <c r="D232" s="35"/>
      <c r="E232" s="17"/>
      <c r="F232" s="35"/>
      <c r="G232" s="17"/>
      <c r="H232" s="35"/>
      <c r="I232" s="17"/>
      <c r="J232" s="35"/>
      <c r="K232" s="14"/>
      <c r="L232" s="14"/>
      <c r="M232" s="14"/>
      <c r="N232" s="14"/>
      <c r="O232" s="14"/>
      <c r="P232" s="286"/>
      <c r="Q232" s="14"/>
      <c r="R232" s="25"/>
    </row>
    <row r="233" spans="1:18" ht="15.75" x14ac:dyDescent="0.25">
      <c r="A233" s="75" t="s">
        <v>95</v>
      </c>
      <c r="B233" s="37">
        <v>45009</v>
      </c>
      <c r="C233" s="22"/>
      <c r="D233" s="37"/>
      <c r="E233" s="22"/>
      <c r="F233" s="37"/>
      <c r="G233" s="22"/>
      <c r="H233" s="37"/>
      <c r="I233" s="22"/>
      <c r="J233" s="37"/>
      <c r="K233" s="21">
        <f>SUM(B233:J233)</f>
        <v>45009</v>
      </c>
      <c r="L233" s="21"/>
      <c r="M233" s="21">
        <v>43911</v>
      </c>
      <c r="N233" s="21">
        <v>39730</v>
      </c>
      <c r="O233" s="21">
        <v>29423</v>
      </c>
      <c r="P233" s="287">
        <f>IFERROR((+K233-N233)/N233,0)</f>
        <v>0.13287188522527058</v>
      </c>
      <c r="Q233" s="21">
        <v>43911</v>
      </c>
      <c r="R233" s="25"/>
    </row>
    <row r="234" spans="1:18" ht="15.75" x14ac:dyDescent="0.25">
      <c r="A234" s="75" t="s">
        <v>96</v>
      </c>
      <c r="B234" s="37">
        <v>3443</v>
      </c>
      <c r="C234" s="22"/>
      <c r="D234" s="37"/>
      <c r="E234" s="22"/>
      <c r="F234" s="37"/>
      <c r="G234" s="22"/>
      <c r="H234" s="37"/>
      <c r="I234" s="22"/>
      <c r="J234" s="37"/>
      <c r="K234" s="21">
        <f>SUM(B234:J234)</f>
        <v>3443</v>
      </c>
      <c r="L234" s="21"/>
      <c r="M234" s="21">
        <v>3359</v>
      </c>
      <c r="N234" s="21">
        <v>2856</v>
      </c>
      <c r="O234" s="21">
        <v>2113</v>
      </c>
      <c r="P234" s="287">
        <f>IFERROR((+K234-N234)/N234,0)</f>
        <v>0.20553221288515405</v>
      </c>
      <c r="Q234" s="21">
        <v>3107</v>
      </c>
      <c r="R234" s="25"/>
    </row>
    <row r="235" spans="1:18" ht="15.75" x14ac:dyDescent="0.25">
      <c r="A235" s="75" t="s">
        <v>217</v>
      </c>
      <c r="B235" s="37">
        <v>9227</v>
      </c>
      <c r="C235" s="22"/>
      <c r="D235" s="37"/>
      <c r="E235" s="22"/>
      <c r="F235" s="37"/>
      <c r="G235" s="22"/>
      <c r="H235" s="37"/>
      <c r="I235" s="22"/>
      <c r="J235" s="37"/>
      <c r="K235" s="21">
        <f>SUM(B235:J235)</f>
        <v>9227</v>
      </c>
      <c r="L235" s="21"/>
      <c r="M235" s="21">
        <v>9002</v>
      </c>
      <c r="N235" s="21">
        <v>8145</v>
      </c>
      <c r="O235" s="21">
        <v>5740</v>
      </c>
      <c r="P235" s="287">
        <f>IFERROR((+K235-N235)/N235,0)</f>
        <v>0.13284223449969307</v>
      </c>
      <c r="Q235" s="21">
        <v>8691</v>
      </c>
      <c r="R235" s="25"/>
    </row>
    <row r="236" spans="1:18" ht="15.75" x14ac:dyDescent="0.25">
      <c r="A236" s="75" t="s">
        <v>239</v>
      </c>
      <c r="B236" s="37">
        <v>3520</v>
      </c>
      <c r="C236" s="22"/>
      <c r="D236" s="37"/>
      <c r="E236" s="22"/>
      <c r="F236" s="37"/>
      <c r="G236" s="22"/>
      <c r="H236" s="37"/>
      <c r="I236" s="22"/>
      <c r="J236" s="37"/>
      <c r="K236" s="21">
        <f>SUM(B236:J236)</f>
        <v>3520</v>
      </c>
      <c r="L236" s="21"/>
      <c r="M236" s="21">
        <v>3520</v>
      </c>
      <c r="N236" s="21">
        <v>1997</v>
      </c>
      <c r="O236" s="21">
        <v>1365</v>
      </c>
      <c r="P236" s="287">
        <f>IFERROR((+K236-N236)/N236,0)</f>
        <v>0.76264396594892336</v>
      </c>
      <c r="Q236" s="21">
        <v>1534</v>
      </c>
      <c r="R236" s="25"/>
    </row>
    <row r="237" spans="1:18" ht="24" customHeight="1" x14ac:dyDescent="0.25">
      <c r="A237" s="104" t="s">
        <v>97</v>
      </c>
      <c r="B237" s="60">
        <f t="shared" ref="B237:I237" si="147">SUM(B233:B236)</f>
        <v>61199</v>
      </c>
      <c r="C237" s="60">
        <f t="shared" si="147"/>
        <v>0</v>
      </c>
      <c r="D237" s="60">
        <f t="shared" si="147"/>
        <v>0</v>
      </c>
      <c r="E237" s="60">
        <f t="shared" si="147"/>
        <v>0</v>
      </c>
      <c r="F237" s="60">
        <f t="shared" si="147"/>
        <v>0</v>
      </c>
      <c r="G237" s="60">
        <f t="shared" si="147"/>
        <v>0</v>
      </c>
      <c r="H237" s="60">
        <f t="shared" ref="H237" si="148">SUM(H233:H236)</f>
        <v>0</v>
      </c>
      <c r="I237" s="60">
        <f t="shared" si="147"/>
        <v>0</v>
      </c>
      <c r="J237" s="60">
        <f t="shared" ref="J237" si="149">SUM(J233:J236)</f>
        <v>0</v>
      </c>
      <c r="K237" s="30">
        <f t="shared" ref="K237:O237" si="150">SUM(K233:K236)</f>
        <v>61199</v>
      </c>
      <c r="L237" s="30"/>
      <c r="M237" s="30">
        <f t="shared" ref="M237:N237" si="151">SUM(M233:M236)</f>
        <v>59792</v>
      </c>
      <c r="N237" s="30">
        <f t="shared" si="151"/>
        <v>52728</v>
      </c>
      <c r="O237" s="30">
        <f t="shared" si="150"/>
        <v>38641</v>
      </c>
      <c r="P237" s="248">
        <f>IFERROR((+K237-N237)/N237,0)</f>
        <v>0.16065468062509483</v>
      </c>
      <c r="Q237" s="30">
        <f t="shared" ref="Q237" si="152">SUM(Q233:Q236)</f>
        <v>57243</v>
      </c>
      <c r="R237" s="25"/>
    </row>
    <row r="238" spans="1:18" ht="15.75" x14ac:dyDescent="0.25">
      <c r="A238" s="75"/>
      <c r="B238" s="37"/>
      <c r="C238" s="22"/>
      <c r="D238" s="37"/>
      <c r="E238" s="22"/>
      <c r="F238" s="37"/>
      <c r="G238" s="22"/>
      <c r="H238" s="37"/>
      <c r="I238" s="22"/>
      <c r="J238" s="37"/>
      <c r="K238" s="38"/>
      <c r="L238" s="38"/>
      <c r="M238" s="38"/>
      <c r="N238" s="38"/>
      <c r="O238" s="38"/>
      <c r="P238" s="298"/>
      <c r="Q238" s="38"/>
      <c r="R238" s="25"/>
    </row>
    <row r="239" spans="1:18" ht="15.75" x14ac:dyDescent="0.25">
      <c r="A239" s="75"/>
      <c r="B239" s="37"/>
      <c r="C239" s="22"/>
      <c r="D239" s="37"/>
      <c r="E239" s="22"/>
      <c r="F239" s="37"/>
      <c r="G239" s="22"/>
      <c r="H239" s="37"/>
      <c r="I239" s="22"/>
      <c r="J239" s="37"/>
      <c r="K239" s="38"/>
      <c r="L239" s="38"/>
      <c r="M239" s="38"/>
      <c r="N239" s="38"/>
      <c r="O239" s="38"/>
      <c r="P239" s="298"/>
      <c r="Q239" s="38"/>
    </row>
    <row r="240" spans="1:18" ht="15.75" x14ac:dyDescent="0.25">
      <c r="A240" s="79" t="s">
        <v>20</v>
      </c>
      <c r="B240" s="60">
        <f>+B231+B237</f>
        <v>249063</v>
      </c>
      <c r="C240" s="60">
        <f t="shared" ref="C240:I240" si="153">+C231+C237</f>
        <v>0</v>
      </c>
      <c r="D240" s="60">
        <f t="shared" si="153"/>
        <v>0</v>
      </c>
      <c r="E240" s="60">
        <f t="shared" si="153"/>
        <v>0</v>
      </c>
      <c r="F240" s="60">
        <f t="shared" si="153"/>
        <v>0</v>
      </c>
      <c r="G240" s="60">
        <f t="shared" si="153"/>
        <v>0</v>
      </c>
      <c r="H240" s="60">
        <f t="shared" ref="H240" si="154">+H231+H237</f>
        <v>0</v>
      </c>
      <c r="I240" s="60">
        <f t="shared" si="153"/>
        <v>0</v>
      </c>
      <c r="J240" s="60">
        <f t="shared" ref="J240" si="155">+J231+J237</f>
        <v>0</v>
      </c>
      <c r="K240" s="30">
        <f t="shared" ref="K240:M240" si="156">+K231+K237</f>
        <v>249063</v>
      </c>
      <c r="L240" s="30"/>
      <c r="M240" s="30">
        <f t="shared" si="156"/>
        <v>242422</v>
      </c>
      <c r="N240" s="30">
        <f t="shared" ref="N240" si="157">+N231+N237</f>
        <v>216753</v>
      </c>
      <c r="O240" s="30">
        <f t="shared" ref="O240" si="158">+O231+O237</f>
        <v>160823</v>
      </c>
      <c r="P240" s="248">
        <f>IFERROR((+K240-N240)/N240,0)</f>
        <v>0.14906368077950477</v>
      </c>
      <c r="Q240" s="30">
        <f t="shared" ref="Q240" si="159">+Q231+Q237</f>
        <v>232868</v>
      </c>
    </row>
    <row r="241" spans="1:20" ht="15.75" x14ac:dyDescent="0.25">
      <c r="A241" s="85"/>
      <c r="B241" s="37"/>
      <c r="C241" s="22"/>
      <c r="D241" s="37"/>
      <c r="E241" s="22"/>
      <c r="F241" s="37"/>
      <c r="G241" s="22"/>
      <c r="H241" s="37"/>
      <c r="I241" s="22"/>
      <c r="J241" s="37"/>
      <c r="K241" s="38"/>
      <c r="L241" s="38"/>
      <c r="M241" s="38"/>
      <c r="N241" s="38"/>
      <c r="O241" s="38"/>
      <c r="P241" s="298"/>
      <c r="Q241" s="38"/>
    </row>
    <row r="242" spans="1:20" ht="15.75" x14ac:dyDescent="0.25">
      <c r="A242" s="79" t="s">
        <v>98</v>
      </c>
      <c r="B242" s="60">
        <f t="shared" ref="B242:K242" si="160">+B218+B222+B240</f>
        <v>257663</v>
      </c>
      <c r="C242" s="60">
        <f t="shared" si="160"/>
        <v>0</v>
      </c>
      <c r="D242" s="60">
        <f t="shared" si="160"/>
        <v>0</v>
      </c>
      <c r="E242" s="60">
        <f t="shared" si="160"/>
        <v>0</v>
      </c>
      <c r="F242" s="60">
        <f t="shared" si="160"/>
        <v>0</v>
      </c>
      <c r="G242" s="60">
        <f t="shared" si="160"/>
        <v>0</v>
      </c>
      <c r="H242" s="60">
        <f t="shared" si="160"/>
        <v>0</v>
      </c>
      <c r="I242" s="60">
        <f t="shared" si="160"/>
        <v>0</v>
      </c>
      <c r="J242" s="60">
        <f t="shared" si="160"/>
        <v>20000</v>
      </c>
      <c r="K242" s="30">
        <f t="shared" si="160"/>
        <v>277663</v>
      </c>
      <c r="L242" s="30"/>
      <c r="M242" s="30">
        <f>+M218+M222+M240</f>
        <v>271772</v>
      </c>
      <c r="N242" s="30">
        <f>+N218+N222+N240</f>
        <v>226153</v>
      </c>
      <c r="O242" s="30">
        <f>+O218+O222+O240</f>
        <v>162943</v>
      </c>
      <c r="P242" s="248">
        <f>IFERROR((+K242-N242)/N242,0)</f>
        <v>0.22776615830875557</v>
      </c>
      <c r="Q242" s="30">
        <f>+Q218+Q222+Q240</f>
        <v>258281</v>
      </c>
    </row>
    <row r="243" spans="1:20" ht="24" customHeight="1" x14ac:dyDescent="0.25">
      <c r="A243" s="85"/>
      <c r="B243" s="37"/>
      <c r="C243" s="22"/>
      <c r="D243" s="37"/>
      <c r="E243" s="22"/>
      <c r="F243" s="37"/>
      <c r="G243" s="22"/>
      <c r="H243" s="37"/>
      <c r="I243" s="22"/>
      <c r="J243" s="37"/>
      <c r="K243" s="38"/>
      <c r="L243" s="38"/>
      <c r="M243" s="38"/>
      <c r="N243" s="38"/>
      <c r="O243" s="38"/>
      <c r="P243" s="298"/>
      <c r="Q243" s="38"/>
    </row>
    <row r="244" spans="1:20" ht="15.75" x14ac:dyDescent="0.25">
      <c r="A244" s="75"/>
      <c r="B244" s="35"/>
      <c r="C244" s="17"/>
      <c r="D244" s="35"/>
      <c r="E244" s="17"/>
      <c r="F244" s="35"/>
      <c r="G244" s="17"/>
      <c r="H244" s="35"/>
      <c r="I244" s="17"/>
      <c r="J244" s="35"/>
      <c r="K244" s="14"/>
      <c r="L244" s="14"/>
      <c r="M244" s="14"/>
      <c r="N244" s="14"/>
      <c r="O244" s="14"/>
      <c r="P244" s="299"/>
      <c r="Q244" s="14"/>
    </row>
    <row r="245" spans="1:20" ht="18.75" x14ac:dyDescent="0.25">
      <c r="A245" s="132" t="s">
        <v>99</v>
      </c>
      <c r="B245" s="133">
        <f>+B242+B210+B156+B150+B111+B50+B67+B76</f>
        <v>479535</v>
      </c>
      <c r="C245" s="133">
        <f t="shared" ref="C245:Q245" si="161">+C242+C210+C156+C150+C111+C50+C67+C76</f>
        <v>139285</v>
      </c>
      <c r="D245" s="133">
        <f t="shared" si="161"/>
        <v>621937</v>
      </c>
      <c r="E245" s="133">
        <f t="shared" si="161"/>
        <v>14056</v>
      </c>
      <c r="F245" s="133">
        <f t="shared" si="161"/>
        <v>62614</v>
      </c>
      <c r="G245" s="133">
        <f t="shared" si="161"/>
        <v>4801</v>
      </c>
      <c r="H245" s="133">
        <f t="shared" si="161"/>
        <v>5801</v>
      </c>
      <c r="I245" s="133">
        <f t="shared" si="161"/>
        <v>15205</v>
      </c>
      <c r="J245" s="133">
        <f t="shared" si="161"/>
        <v>53344</v>
      </c>
      <c r="K245" s="133">
        <f t="shared" si="161"/>
        <v>1396578</v>
      </c>
      <c r="L245" s="133">
        <f t="shared" si="161"/>
        <v>0</v>
      </c>
      <c r="M245" s="133">
        <f t="shared" si="161"/>
        <v>1384937</v>
      </c>
      <c r="N245" s="133">
        <f t="shared" si="161"/>
        <v>971899</v>
      </c>
      <c r="O245" s="133" t="e">
        <f t="shared" si="161"/>
        <v>#REF!</v>
      </c>
      <c r="P245" s="133">
        <f t="shared" si="161"/>
        <v>8.8861049201689664</v>
      </c>
      <c r="Q245" s="133">
        <f t="shared" si="161"/>
        <v>1275971</v>
      </c>
      <c r="T245" s="249">
        <f>SUM(B245:J245)</f>
        <v>1396578</v>
      </c>
    </row>
    <row r="246" spans="1:20" ht="23.1" customHeight="1" x14ac:dyDescent="0.25">
      <c r="A246" s="9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292"/>
      <c r="Q246" s="17"/>
    </row>
    <row r="247" spans="1:20" ht="15.75" x14ac:dyDescent="0.25">
      <c r="A247" s="75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300"/>
      <c r="Q247" s="22"/>
    </row>
    <row r="248" spans="1:20" ht="23.1" customHeight="1" x14ac:dyDescent="0.25">
      <c r="A248" s="105" t="s">
        <v>15</v>
      </c>
      <c r="B248" s="37">
        <f t="shared" ref="B248:K248" si="162">+B39</f>
        <v>479535</v>
      </c>
      <c r="C248" s="22">
        <f t="shared" si="162"/>
        <v>139285</v>
      </c>
      <c r="D248" s="37">
        <f t="shared" si="162"/>
        <v>621937.26</v>
      </c>
      <c r="E248" s="22">
        <f t="shared" si="162"/>
        <v>14056</v>
      </c>
      <c r="F248" s="37">
        <f t="shared" si="162"/>
        <v>62614</v>
      </c>
      <c r="G248" s="22">
        <f t="shared" si="162"/>
        <v>4801</v>
      </c>
      <c r="H248" s="37">
        <f t="shared" si="162"/>
        <v>5801</v>
      </c>
      <c r="I248" s="22">
        <f t="shared" si="162"/>
        <v>15205</v>
      </c>
      <c r="J248" s="37">
        <f t="shared" si="162"/>
        <v>53344</v>
      </c>
      <c r="K248" s="38">
        <f t="shared" si="162"/>
        <v>1396578.26</v>
      </c>
      <c r="L248" s="21"/>
      <c r="M248" s="38">
        <f>+M39</f>
        <v>1384937</v>
      </c>
      <c r="N248" s="38">
        <f>+N39</f>
        <v>1097904</v>
      </c>
      <c r="O248" s="21">
        <f>+O39</f>
        <v>909628</v>
      </c>
      <c r="P248" s="301">
        <f>IFERROR((+K248-N248)/N248,0)</f>
        <v>0.27204041519112782</v>
      </c>
      <c r="Q248" s="38">
        <f>+Q39</f>
        <v>1275971</v>
      </c>
      <c r="T248" s="249">
        <f>SUM(B248:J248)</f>
        <v>1396578.26</v>
      </c>
    </row>
    <row r="249" spans="1:20" ht="15.75" x14ac:dyDescent="0.25">
      <c r="A249" s="106" t="s">
        <v>99</v>
      </c>
      <c r="B249" s="37">
        <f t="shared" ref="B249:I249" si="163">+B245</f>
        <v>479535</v>
      </c>
      <c r="C249" s="22">
        <f t="shared" si="163"/>
        <v>139285</v>
      </c>
      <c r="D249" s="37">
        <f t="shared" si="163"/>
        <v>621937</v>
      </c>
      <c r="E249" s="22">
        <f t="shared" si="163"/>
        <v>14056</v>
      </c>
      <c r="F249" s="37">
        <f t="shared" si="163"/>
        <v>62614</v>
      </c>
      <c r="G249" s="22">
        <f t="shared" si="163"/>
        <v>4801</v>
      </c>
      <c r="H249" s="37">
        <f t="shared" ref="H249" si="164">+H245</f>
        <v>5801</v>
      </c>
      <c r="I249" s="22">
        <f t="shared" si="163"/>
        <v>15205</v>
      </c>
      <c r="J249" s="37">
        <f t="shared" ref="J249" si="165">+J245</f>
        <v>53344</v>
      </c>
      <c r="K249" s="38">
        <f t="shared" ref="K249:M249" si="166">+K245</f>
        <v>1396578</v>
      </c>
      <c r="L249" s="21"/>
      <c r="M249" s="38">
        <f t="shared" si="166"/>
        <v>1384937</v>
      </c>
      <c r="N249" s="38">
        <f t="shared" ref="N249" si="167">+N245</f>
        <v>971899</v>
      </c>
      <c r="O249" s="21" t="e">
        <f>+O245</f>
        <v>#REF!</v>
      </c>
      <c r="P249" s="301">
        <f>IFERROR((+K249-N249)/N249,0)</f>
        <v>0.43695795550772248</v>
      </c>
      <c r="Q249" s="38">
        <f t="shared" ref="Q249" si="168">+Q245</f>
        <v>1275971</v>
      </c>
      <c r="T249" s="249">
        <f>SUM(B249:J249)</f>
        <v>1396578</v>
      </c>
    </row>
    <row r="250" spans="1:20" ht="15.75" x14ac:dyDescent="0.25">
      <c r="A250" s="137" t="s">
        <v>240</v>
      </c>
      <c r="B250" s="138">
        <v>0</v>
      </c>
      <c r="C250" s="139">
        <v>0</v>
      </c>
      <c r="D250" s="138">
        <v>0</v>
      </c>
      <c r="E250" s="139"/>
      <c r="F250" s="138"/>
      <c r="G250" s="139"/>
      <c r="H250" s="138"/>
      <c r="I250" s="139"/>
      <c r="J250" s="138"/>
      <c r="K250" s="140"/>
      <c r="L250" s="140"/>
      <c r="M250" s="140"/>
      <c r="N250" s="140">
        <v>16750</v>
      </c>
      <c r="O250" s="140">
        <v>16750</v>
      </c>
      <c r="P250" s="302"/>
      <c r="Q250" s="140"/>
    </row>
    <row r="251" spans="1:20" ht="29.1" customHeight="1" x14ac:dyDescent="0.25">
      <c r="A251" s="134" t="s">
        <v>155</v>
      </c>
      <c r="B251" s="135">
        <f t="shared" ref="B251:I251" si="169">+B248-B249+B250</f>
        <v>0</v>
      </c>
      <c r="C251" s="135">
        <f t="shared" si="169"/>
        <v>0</v>
      </c>
      <c r="D251" s="135">
        <f t="shared" si="169"/>
        <v>0.26000000000931323</v>
      </c>
      <c r="E251" s="135">
        <f t="shared" si="169"/>
        <v>0</v>
      </c>
      <c r="F251" s="135">
        <f t="shared" si="169"/>
        <v>0</v>
      </c>
      <c r="G251" s="135">
        <f t="shared" si="169"/>
        <v>0</v>
      </c>
      <c r="H251" s="135">
        <f t="shared" ref="H251" si="170">+H248-H249+H250</f>
        <v>0</v>
      </c>
      <c r="I251" s="135">
        <f t="shared" si="169"/>
        <v>0</v>
      </c>
      <c r="J251" s="135">
        <f t="shared" ref="J251" si="171">+J248-J249+J250</f>
        <v>0</v>
      </c>
      <c r="K251" s="136">
        <f>SUM(B251:J251)</f>
        <v>0.26000000000931323</v>
      </c>
      <c r="L251" s="136"/>
      <c r="M251" s="135">
        <f>+M248-M249-M250</f>
        <v>0</v>
      </c>
      <c r="N251" s="135">
        <f>+N248-N249-N250</f>
        <v>109255</v>
      </c>
      <c r="O251" s="136" t="e">
        <f>+O248-O249-O250</f>
        <v>#REF!</v>
      </c>
      <c r="P251" s="303"/>
      <c r="Q251" s="135">
        <f>+Q248-Q249-Q250</f>
        <v>0</v>
      </c>
      <c r="T251" s="249">
        <f>SUM(B251:J251)</f>
        <v>0.26000000000931323</v>
      </c>
    </row>
    <row r="252" spans="1:20" ht="18.75" x14ac:dyDescent="0.3">
      <c r="A252" s="83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304"/>
      <c r="Q252" s="2"/>
      <c r="R252" s="72"/>
    </row>
    <row r="253" spans="1:20" ht="18.75" x14ac:dyDescent="0.3">
      <c r="A253" s="83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304"/>
      <c r="Q253" s="2"/>
      <c r="R253" s="72"/>
    </row>
    <row r="254" spans="1:20" ht="18.75" x14ac:dyDescent="0.3">
      <c r="A254" s="83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304"/>
      <c r="Q254" s="2"/>
      <c r="R254" s="72"/>
    </row>
    <row r="255" spans="1:20" ht="18.75" x14ac:dyDescent="0.3">
      <c r="A255" s="83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304"/>
      <c r="Q255" s="2"/>
      <c r="R255" s="72"/>
    </row>
    <row r="256" spans="1:20" ht="18.75" x14ac:dyDescent="0.3">
      <c r="A256" s="83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304"/>
      <c r="Q256" s="2"/>
      <c r="R256" s="72"/>
    </row>
    <row r="257" spans="1:18" ht="18.75" x14ac:dyDescent="0.3">
      <c r="A257" s="83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304"/>
      <c r="Q257" s="2"/>
      <c r="R257" s="72"/>
    </row>
    <row r="258" spans="1:18" x14ac:dyDescent="0.25">
      <c r="A258" s="84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304"/>
      <c r="Q258" s="2"/>
    </row>
    <row r="259" spans="1:18" ht="18" x14ac:dyDescent="0.25">
      <c r="A259" s="129" t="s">
        <v>235</v>
      </c>
      <c r="B259" s="109"/>
      <c r="C259" s="109"/>
      <c r="D259" s="110"/>
      <c r="E259" s="110"/>
      <c r="F259" s="110"/>
      <c r="G259" s="110"/>
      <c r="H259" s="110"/>
      <c r="I259" s="3"/>
      <c r="J259" s="110"/>
      <c r="K259" s="3"/>
      <c r="L259" s="3"/>
      <c r="M259" s="3"/>
      <c r="N259" s="3"/>
      <c r="O259" s="3"/>
      <c r="P259" s="305"/>
      <c r="Q259" s="3"/>
    </row>
    <row r="260" spans="1:18" ht="18" x14ac:dyDescent="0.25">
      <c r="A260" s="121" t="s">
        <v>107</v>
      </c>
      <c r="B260" s="111" t="s">
        <v>111</v>
      </c>
      <c r="C260" s="111" t="s">
        <v>106</v>
      </c>
      <c r="D260" s="110"/>
      <c r="E260" s="110"/>
      <c r="F260" s="110"/>
      <c r="G260" s="110"/>
      <c r="H260" s="110"/>
      <c r="I260" s="3"/>
      <c r="J260" s="110"/>
      <c r="K260" s="3"/>
      <c r="L260" s="3"/>
      <c r="M260" s="3"/>
      <c r="N260" s="3"/>
      <c r="O260" s="3"/>
      <c r="P260" s="305"/>
      <c r="Q260" s="3"/>
    </row>
    <row r="261" spans="1:18" ht="20.100000000000001" customHeight="1" x14ac:dyDescent="0.25">
      <c r="A261" s="112" t="s">
        <v>108</v>
      </c>
      <c r="B261" s="110">
        <f>+B39</f>
        <v>479535</v>
      </c>
      <c r="C261" s="113">
        <f t="shared" ref="C261:C267" si="172">B261/$B$267</f>
        <v>0.36351396943245762</v>
      </c>
      <c r="D261" s="110"/>
      <c r="E261" s="110"/>
      <c r="F261" s="110"/>
      <c r="G261" s="110"/>
      <c r="H261" s="110"/>
      <c r="I261" s="3"/>
      <c r="J261" s="110"/>
      <c r="K261" s="3"/>
      <c r="L261" s="3"/>
      <c r="M261" s="3"/>
      <c r="N261" s="3"/>
      <c r="O261" s="3"/>
      <c r="P261" s="305"/>
      <c r="Q261" s="3"/>
    </row>
    <row r="262" spans="1:18" ht="30" customHeight="1" x14ac:dyDescent="0.25">
      <c r="A262" s="112" t="s">
        <v>109</v>
      </c>
      <c r="B262" s="110">
        <f>+C39</f>
        <v>139285</v>
      </c>
      <c r="C262" s="113">
        <f t="shared" si="172"/>
        <v>0.10558570955696635</v>
      </c>
      <c r="D262" s="110"/>
      <c r="E262" s="110"/>
      <c r="F262" s="110"/>
      <c r="G262" s="110"/>
      <c r="H262" s="110"/>
      <c r="I262" s="3"/>
      <c r="J262" s="110"/>
      <c r="K262" s="3"/>
      <c r="L262" s="3"/>
      <c r="M262" s="3"/>
      <c r="N262" s="3"/>
      <c r="O262" s="3"/>
      <c r="P262" s="305"/>
      <c r="Q262" s="3"/>
    </row>
    <row r="263" spans="1:18" ht="18" x14ac:dyDescent="0.25">
      <c r="A263" s="112" t="s">
        <v>113</v>
      </c>
      <c r="B263" s="110">
        <f>+K15</f>
        <v>605726.26</v>
      </c>
      <c r="C263" s="113">
        <f t="shared" si="172"/>
        <v>0.45917390213869036</v>
      </c>
      <c r="D263" s="110"/>
      <c r="E263" s="110"/>
      <c r="F263" s="110"/>
      <c r="G263" s="110"/>
      <c r="H263" s="110"/>
      <c r="I263" s="3"/>
      <c r="J263" s="110"/>
      <c r="K263" s="3"/>
      <c r="L263" s="3"/>
      <c r="M263" s="3"/>
      <c r="N263" s="3"/>
      <c r="O263" s="3"/>
      <c r="P263" s="305"/>
      <c r="Q263" s="3"/>
    </row>
    <row r="264" spans="1:18" ht="18" hidden="1" x14ac:dyDescent="0.25">
      <c r="A264" s="112" t="s">
        <v>122</v>
      </c>
      <c r="B264" s="110">
        <f>+K16</f>
        <v>15205</v>
      </c>
      <c r="C264" s="113">
        <f t="shared" si="172"/>
        <v>1.1526228336243482E-2</v>
      </c>
      <c r="D264" s="110"/>
      <c r="E264" s="110"/>
      <c r="F264" s="110"/>
      <c r="G264" s="110"/>
      <c r="H264" s="110"/>
      <c r="I264" s="3"/>
      <c r="J264" s="110"/>
      <c r="K264" s="3"/>
      <c r="L264" s="3"/>
      <c r="M264" s="3"/>
      <c r="N264" s="3"/>
      <c r="O264" s="3"/>
      <c r="P264" s="305"/>
      <c r="Q264" s="3"/>
    </row>
    <row r="265" spans="1:18" ht="18" hidden="1" x14ac:dyDescent="0.25">
      <c r="A265" s="112" t="s">
        <v>116</v>
      </c>
      <c r="B265" s="110">
        <f>+K17</f>
        <v>32014</v>
      </c>
      <c r="C265" s="113">
        <f t="shared" si="172"/>
        <v>2.4268377109930867E-2</v>
      </c>
      <c r="D265" s="110"/>
      <c r="E265" s="110"/>
      <c r="F265" s="110"/>
      <c r="G265" s="110"/>
      <c r="H265" s="110"/>
      <c r="I265" s="3"/>
      <c r="J265" s="110"/>
      <c r="K265" s="3"/>
      <c r="L265" s="3"/>
      <c r="M265" s="3"/>
      <c r="N265" s="3"/>
      <c r="O265" s="3"/>
      <c r="P265" s="305"/>
      <c r="Q265" s="3"/>
    </row>
    <row r="266" spans="1:18" ht="18" hidden="1" x14ac:dyDescent="0.25">
      <c r="A266" s="112" t="s">
        <v>9</v>
      </c>
      <c r="B266" s="110">
        <f>+K20+K36</f>
        <v>47400</v>
      </c>
      <c r="C266" s="113">
        <f t="shared" si="172"/>
        <v>3.5931813425711348E-2</v>
      </c>
      <c r="D266" s="110"/>
      <c r="E266" s="110"/>
      <c r="F266" s="110"/>
      <c r="G266" s="110"/>
      <c r="H266" s="110"/>
      <c r="I266" s="3"/>
      <c r="J266" s="110"/>
      <c r="K266" s="3"/>
      <c r="L266" s="3"/>
      <c r="M266" s="3"/>
      <c r="N266" s="3"/>
      <c r="O266" s="3"/>
      <c r="P266" s="305"/>
      <c r="Q266" s="3"/>
    </row>
    <row r="267" spans="1:18" ht="18.75" hidden="1" x14ac:dyDescent="0.25">
      <c r="A267" s="123" t="s">
        <v>110</v>
      </c>
      <c r="B267" s="124">
        <f>SUM(B261:B266)</f>
        <v>1319165.26</v>
      </c>
      <c r="C267" s="125">
        <f t="shared" si="172"/>
        <v>1</v>
      </c>
      <c r="D267" s="110"/>
      <c r="E267" s="110"/>
      <c r="F267" s="110"/>
      <c r="G267" s="110"/>
      <c r="H267" s="110"/>
      <c r="I267" s="3"/>
      <c r="J267" s="110"/>
      <c r="K267" s="3"/>
      <c r="L267" s="3"/>
      <c r="M267" s="3"/>
      <c r="N267" s="3"/>
      <c r="O267" s="3"/>
      <c r="P267" s="305"/>
      <c r="Q267" s="3"/>
    </row>
    <row r="268" spans="1:18" ht="18" hidden="1" x14ac:dyDescent="0.25">
      <c r="A268" s="114"/>
      <c r="B268" s="110"/>
      <c r="C268" s="110"/>
      <c r="D268" s="110"/>
      <c r="E268" s="110"/>
      <c r="F268" s="110"/>
      <c r="G268" s="110"/>
      <c r="H268" s="110"/>
      <c r="I268" s="3"/>
      <c r="J268" s="110"/>
      <c r="K268" s="3"/>
      <c r="L268" s="3"/>
      <c r="M268" s="3"/>
      <c r="N268" s="3"/>
      <c r="O268" s="3"/>
      <c r="P268" s="305"/>
      <c r="Q268" s="3"/>
    </row>
    <row r="269" spans="1:18" ht="18" hidden="1" x14ac:dyDescent="0.25">
      <c r="A269" s="122" t="s">
        <v>112</v>
      </c>
      <c r="B269" s="111" t="s">
        <v>103</v>
      </c>
      <c r="C269" s="111" t="s">
        <v>105</v>
      </c>
      <c r="D269" s="111" t="s">
        <v>104</v>
      </c>
      <c r="E269" s="111" t="s">
        <v>106</v>
      </c>
      <c r="F269" s="110" t="s">
        <v>132</v>
      </c>
      <c r="G269" s="110"/>
      <c r="H269" s="110" t="s">
        <v>132</v>
      </c>
      <c r="I269" s="3"/>
      <c r="J269" s="110" t="s">
        <v>132</v>
      </c>
      <c r="K269" s="3"/>
      <c r="L269" s="3"/>
      <c r="M269" s="3"/>
      <c r="N269" s="3"/>
      <c r="O269" s="3"/>
      <c r="P269" s="305"/>
      <c r="Q269" s="3"/>
    </row>
    <row r="270" spans="1:18" ht="18" hidden="1" x14ac:dyDescent="0.25">
      <c r="A270" s="112" t="s">
        <v>100</v>
      </c>
      <c r="B270" s="115">
        <f>+K108</f>
        <v>0</v>
      </c>
      <c r="C270" s="115">
        <f>+K50</f>
        <v>71841</v>
      </c>
      <c r="D270" s="115">
        <f>SUM(B270:C270)</f>
        <v>71841</v>
      </c>
      <c r="E270" s="113" t="e">
        <f t="shared" ref="E270:E277" si="173">D270/$D$277</f>
        <v>#REF!</v>
      </c>
      <c r="F270" s="113" t="e">
        <f t="shared" ref="F270:J277" si="174">B270/$B$277</f>
        <v>#REF!</v>
      </c>
      <c r="G270" s="113"/>
      <c r="H270" s="113" t="e">
        <f t="shared" si="174"/>
        <v>#REF!</v>
      </c>
      <c r="I270" s="3"/>
      <c r="J270" s="113" t="e">
        <f t="shared" si="174"/>
        <v>#REF!</v>
      </c>
      <c r="K270" s="3"/>
      <c r="L270" s="3"/>
      <c r="M270" s="3"/>
      <c r="N270" s="3"/>
      <c r="O270" s="3"/>
      <c r="P270" s="305"/>
      <c r="Q270" s="3"/>
    </row>
    <row r="271" spans="1:18" ht="18" hidden="1" x14ac:dyDescent="0.25">
      <c r="A271" s="112" t="s">
        <v>231</v>
      </c>
      <c r="B271" s="115">
        <f>+K90</f>
        <v>32500</v>
      </c>
      <c r="C271" s="115" t="e">
        <f>+#REF!+K91+K98-K90</f>
        <v>#REF!</v>
      </c>
      <c r="D271" s="115" t="e">
        <f t="shared" ref="D271:D276" si="175">SUM(B271:C271)</f>
        <v>#REF!</v>
      </c>
      <c r="E271" s="113" t="e">
        <f t="shared" si="173"/>
        <v>#REF!</v>
      </c>
      <c r="F271" s="113" t="e">
        <f t="shared" si="174"/>
        <v>#REF!</v>
      </c>
      <c r="G271" s="113"/>
      <c r="H271" s="113" t="e">
        <f t="shared" si="174"/>
        <v>#REF!</v>
      </c>
      <c r="I271" s="3"/>
      <c r="J271" s="113" t="e">
        <f t="shared" si="174"/>
        <v>#REF!</v>
      </c>
      <c r="K271" s="3"/>
      <c r="L271" s="3"/>
      <c r="M271" s="3"/>
      <c r="N271" s="3"/>
      <c r="O271" s="3"/>
      <c r="P271" s="305"/>
      <c r="Q271" s="3"/>
    </row>
    <row r="272" spans="1:18" ht="18" hidden="1" x14ac:dyDescent="0.25">
      <c r="A272" s="116" t="s">
        <v>133</v>
      </c>
      <c r="B272" s="117" t="e">
        <f>+K138+#REF!+K146</f>
        <v>#REF!</v>
      </c>
      <c r="C272" s="117">
        <f>+K118+K124+K128</f>
        <v>46350</v>
      </c>
      <c r="D272" s="117" t="e">
        <f t="shared" si="175"/>
        <v>#REF!</v>
      </c>
      <c r="E272" s="118" t="e">
        <f t="shared" si="173"/>
        <v>#REF!</v>
      </c>
      <c r="F272" s="118" t="e">
        <f t="shared" si="174"/>
        <v>#REF!</v>
      </c>
      <c r="G272" s="119"/>
      <c r="H272" s="118" t="e">
        <f t="shared" si="174"/>
        <v>#REF!</v>
      </c>
      <c r="I272" s="7"/>
      <c r="J272" s="118" t="e">
        <f t="shared" si="174"/>
        <v>#REF!</v>
      </c>
      <c r="K272" s="7"/>
      <c r="L272" s="7"/>
      <c r="M272" s="7"/>
      <c r="N272" s="7"/>
      <c r="O272" s="7"/>
      <c r="P272" s="306"/>
      <c r="Q272" s="7"/>
    </row>
    <row r="273" spans="1:18" ht="24.95" hidden="1" customHeight="1" x14ac:dyDescent="0.25">
      <c r="A273" s="112" t="s">
        <v>21</v>
      </c>
      <c r="B273" s="115">
        <f>+K54+K56+K58+K60+K62+K64+K66</f>
        <v>15600</v>
      </c>
      <c r="C273" s="115">
        <f>+K55+K57+K59+K61+K63+K65+K53</f>
        <v>54400</v>
      </c>
      <c r="D273" s="115">
        <f t="shared" si="175"/>
        <v>70000</v>
      </c>
      <c r="E273" s="113" t="e">
        <f t="shared" si="173"/>
        <v>#REF!</v>
      </c>
      <c r="F273" s="113" t="e">
        <f t="shared" si="174"/>
        <v>#REF!</v>
      </c>
      <c r="G273" s="113"/>
      <c r="H273" s="113" t="e">
        <f t="shared" si="174"/>
        <v>#REF!</v>
      </c>
      <c r="I273" s="9"/>
      <c r="J273" s="113" t="e">
        <f t="shared" si="174"/>
        <v>#REF!</v>
      </c>
      <c r="K273" s="9"/>
      <c r="L273" s="9"/>
      <c r="M273" s="9"/>
      <c r="N273" s="9"/>
      <c r="O273" s="9"/>
      <c r="P273" s="307"/>
      <c r="Q273" s="9"/>
    </row>
    <row r="274" spans="1:18" ht="18" hidden="1" x14ac:dyDescent="0.25">
      <c r="A274" s="112" t="s">
        <v>101</v>
      </c>
      <c r="B274" s="115">
        <f>+K231+K237</f>
        <v>249063</v>
      </c>
      <c r="C274" s="115">
        <f>+K218+K222</f>
        <v>28600</v>
      </c>
      <c r="D274" s="115">
        <f t="shared" si="175"/>
        <v>277663</v>
      </c>
      <c r="E274" s="113" t="e">
        <f t="shared" si="173"/>
        <v>#REF!</v>
      </c>
      <c r="F274" s="113" t="e">
        <f t="shared" si="174"/>
        <v>#REF!</v>
      </c>
      <c r="G274" s="113"/>
      <c r="H274" s="113" t="e">
        <f t="shared" si="174"/>
        <v>#REF!</v>
      </c>
      <c r="I274" s="9"/>
      <c r="J274" s="113" t="e">
        <f t="shared" si="174"/>
        <v>#REF!</v>
      </c>
      <c r="K274" s="9"/>
      <c r="L274" s="9"/>
      <c r="M274" s="9"/>
      <c r="N274" s="9"/>
      <c r="O274" s="9"/>
      <c r="P274" s="307"/>
      <c r="Q274" s="9"/>
      <c r="R274" s="25"/>
    </row>
    <row r="275" spans="1:18" ht="18" hidden="1" x14ac:dyDescent="0.25">
      <c r="A275" s="112" t="s">
        <v>57</v>
      </c>
      <c r="B275" s="115">
        <v>0</v>
      </c>
      <c r="C275" s="115">
        <f>+K156</f>
        <v>124002</v>
      </c>
      <c r="D275" s="115">
        <f t="shared" si="175"/>
        <v>124002</v>
      </c>
      <c r="E275" s="113" t="e">
        <f t="shared" si="173"/>
        <v>#REF!</v>
      </c>
      <c r="F275" s="113" t="e">
        <f t="shared" si="174"/>
        <v>#REF!</v>
      </c>
      <c r="G275" s="113"/>
      <c r="H275" s="113" t="e">
        <f t="shared" si="174"/>
        <v>#REF!</v>
      </c>
      <c r="I275" s="9"/>
      <c r="J275" s="113" t="e">
        <f t="shared" si="174"/>
        <v>#REF!</v>
      </c>
      <c r="K275" s="9"/>
      <c r="L275" s="9"/>
      <c r="M275" s="9"/>
      <c r="N275" s="9"/>
      <c r="O275" s="9"/>
      <c r="P275" s="307"/>
      <c r="Q275" s="9"/>
    </row>
    <row r="276" spans="1:18" ht="18" hidden="1" x14ac:dyDescent="0.25">
      <c r="A276" s="112" t="s">
        <v>102</v>
      </c>
      <c r="B276" s="115">
        <f>+K187+K195+K201+K206</f>
        <v>329770</v>
      </c>
      <c r="C276" s="115">
        <f>+K160+K178+K183</f>
        <v>120780</v>
      </c>
      <c r="D276" s="115">
        <f t="shared" si="175"/>
        <v>450550</v>
      </c>
      <c r="E276" s="113" t="e">
        <f t="shared" si="173"/>
        <v>#REF!</v>
      </c>
      <c r="F276" s="113" t="e">
        <f t="shared" si="174"/>
        <v>#REF!</v>
      </c>
      <c r="G276" s="113"/>
      <c r="H276" s="113" t="e">
        <f t="shared" si="174"/>
        <v>#REF!</v>
      </c>
      <c r="I276" s="9"/>
      <c r="J276" s="113" t="e">
        <f t="shared" si="174"/>
        <v>#REF!</v>
      </c>
      <c r="K276" s="9"/>
      <c r="L276" s="9"/>
      <c r="M276" s="9"/>
      <c r="N276" s="9"/>
      <c r="O276" s="9"/>
      <c r="P276" s="307"/>
      <c r="Q276" s="9"/>
    </row>
    <row r="277" spans="1:18" ht="15.75" hidden="1" customHeight="1" x14ac:dyDescent="0.25">
      <c r="A277" s="126" t="s">
        <v>99</v>
      </c>
      <c r="B277" s="127" t="e">
        <f>SUM(B270:B276)</f>
        <v>#REF!</v>
      </c>
      <c r="C277" s="127" t="e">
        <f t="shared" ref="C277:D277" si="176">SUM(C270:C276)</f>
        <v>#REF!</v>
      </c>
      <c r="D277" s="127" t="e">
        <f t="shared" si="176"/>
        <v>#REF!</v>
      </c>
      <c r="E277" s="128" t="e">
        <f t="shared" si="173"/>
        <v>#REF!</v>
      </c>
      <c r="F277" s="128" t="e">
        <f t="shared" si="174"/>
        <v>#REF!</v>
      </c>
      <c r="G277" s="120"/>
      <c r="H277" s="128" t="e">
        <f t="shared" si="174"/>
        <v>#REF!</v>
      </c>
      <c r="I277" s="9"/>
      <c r="J277" s="128" t="e">
        <f t="shared" si="174"/>
        <v>#REF!</v>
      </c>
      <c r="K277" s="9"/>
      <c r="L277" s="9"/>
      <c r="M277" s="9"/>
      <c r="N277" s="9"/>
      <c r="O277" s="9"/>
      <c r="P277" s="307"/>
      <c r="Q277" s="9"/>
    </row>
    <row r="278" spans="1:18" ht="15.75" hidden="1" customHeight="1" x14ac:dyDescent="0.25">
      <c r="A278" s="112" t="s">
        <v>106</v>
      </c>
      <c r="B278" s="113" t="e">
        <f>B277/D277</f>
        <v>#REF!</v>
      </c>
      <c r="C278" s="113" t="e">
        <f>C277/$D$277</f>
        <v>#REF!</v>
      </c>
      <c r="D278" s="113" t="e">
        <f>D277/$D$277</f>
        <v>#REF!</v>
      </c>
      <c r="E278" s="120"/>
      <c r="F278" s="120"/>
      <c r="G278" s="120"/>
      <c r="H278" s="120"/>
      <c r="I278" s="9"/>
      <c r="J278" s="120"/>
      <c r="K278" s="9"/>
      <c r="L278" s="9"/>
      <c r="M278" s="9"/>
      <c r="N278" s="9"/>
      <c r="O278" s="9"/>
      <c r="P278" s="307"/>
      <c r="Q278" s="9"/>
    </row>
    <row r="279" spans="1:18" ht="18" hidden="1" x14ac:dyDescent="0.25">
      <c r="A279" s="112"/>
      <c r="B279" s="120"/>
      <c r="C279" s="120"/>
      <c r="D279" s="120"/>
      <c r="E279" s="120"/>
      <c r="F279" s="120"/>
      <c r="G279" s="120"/>
      <c r="H279" s="120"/>
      <c r="I279" s="9"/>
      <c r="J279" s="120"/>
      <c r="K279" s="9"/>
      <c r="L279" s="9"/>
      <c r="M279" s="9"/>
      <c r="N279" s="9"/>
      <c r="O279" s="9"/>
      <c r="P279" s="307"/>
      <c r="Q279" s="9"/>
    </row>
    <row r="280" spans="1:18" ht="18.75" hidden="1" customHeight="1" x14ac:dyDescent="0.25">
      <c r="A280" s="112"/>
      <c r="B280" s="120"/>
      <c r="C280" s="120"/>
      <c r="D280" s="120"/>
      <c r="E280" s="120"/>
      <c r="F280" s="120"/>
      <c r="G280" s="120"/>
      <c r="H280" s="120"/>
      <c r="I280" s="9"/>
      <c r="J280" s="120"/>
      <c r="K280" s="9"/>
      <c r="L280" s="9"/>
      <c r="M280" s="9"/>
      <c r="N280" s="9"/>
      <c r="O280" s="9"/>
      <c r="P280" s="307"/>
      <c r="Q280" s="9"/>
    </row>
    <row r="281" spans="1:18" ht="18.75" hidden="1" customHeight="1" x14ac:dyDescent="0.25">
      <c r="A281" s="112"/>
      <c r="B281" s="120"/>
      <c r="C281" s="120"/>
      <c r="D281" s="120"/>
      <c r="E281" s="120"/>
      <c r="F281" s="120"/>
      <c r="G281" s="120"/>
      <c r="H281" s="120"/>
      <c r="I281" s="9"/>
      <c r="J281" s="120"/>
      <c r="K281" s="9"/>
      <c r="L281" s="9"/>
      <c r="M281" s="9"/>
      <c r="N281" s="9"/>
      <c r="O281" s="9"/>
      <c r="P281" s="307"/>
      <c r="Q281" s="9"/>
    </row>
    <row r="282" spans="1:18" ht="18.75" hidden="1" customHeight="1" x14ac:dyDescent="0.25"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307"/>
      <c r="Q282" s="9"/>
    </row>
    <row r="283" spans="1:18" ht="27.95" hidden="1" customHeight="1" x14ac:dyDescent="0.25">
      <c r="B283" s="1"/>
      <c r="C283" s="249"/>
      <c r="D283" s="1"/>
      <c r="F283" s="1"/>
      <c r="H283" s="1"/>
      <c r="J283" s="1"/>
      <c r="P283" s="308"/>
    </row>
    <row r="284" spans="1:18" ht="19.5" hidden="1" customHeight="1" x14ac:dyDescent="0.25">
      <c r="B284" s="1"/>
      <c r="D284" s="1"/>
      <c r="F284" s="1"/>
      <c r="H284" s="1"/>
      <c r="J284" s="1"/>
      <c r="P284" s="308"/>
    </row>
    <row r="285" spans="1:18" ht="19.5" hidden="1" customHeight="1" x14ac:dyDescent="0.25">
      <c r="B285" s="1"/>
      <c r="D285" s="1"/>
      <c r="F285" s="1"/>
      <c r="H285" s="1"/>
      <c r="J285" s="1"/>
      <c r="P285" s="308"/>
    </row>
    <row r="286" spans="1:18" ht="15.75" customHeight="1" x14ac:dyDescent="0.25">
      <c r="B286" s="1"/>
      <c r="D286" s="1"/>
      <c r="F286" s="1"/>
      <c r="H286" s="1"/>
      <c r="J286" s="1"/>
      <c r="P286" s="308"/>
    </row>
    <row r="287" spans="1:18" ht="15.75" customHeight="1" x14ac:dyDescent="0.25">
      <c r="B287" s="1"/>
      <c r="D287" s="1"/>
      <c r="F287" s="1"/>
      <c r="H287" s="1"/>
      <c r="J287" s="1"/>
      <c r="P287" s="308"/>
    </row>
    <row r="288" spans="1:18" ht="15.75" customHeight="1" x14ac:dyDescent="0.25">
      <c r="B288" s="1"/>
      <c r="D288" s="1"/>
      <c r="F288" s="1"/>
      <c r="H288" s="1"/>
      <c r="J288" s="1"/>
      <c r="P288" s="308"/>
    </row>
    <row r="289" spans="1:19" ht="15.75" customHeight="1" x14ac:dyDescent="0.25">
      <c r="B289" s="1"/>
      <c r="D289" s="1"/>
      <c r="F289" s="1"/>
      <c r="H289" s="1"/>
      <c r="J289" s="1"/>
      <c r="P289" s="308"/>
    </row>
    <row r="290" spans="1:19" ht="15.75" customHeight="1" x14ac:dyDescent="0.25">
      <c r="B290" s="1"/>
      <c r="D290" s="1"/>
      <c r="F290" s="1"/>
      <c r="H290" s="1"/>
      <c r="J290" s="1"/>
      <c r="P290" s="308"/>
    </row>
    <row r="291" spans="1:19" ht="15.75" customHeight="1" x14ac:dyDescent="0.25">
      <c r="B291" s="1"/>
      <c r="D291" s="1"/>
      <c r="F291" s="1"/>
      <c r="H291" s="1"/>
      <c r="J291" s="1"/>
      <c r="P291" s="308"/>
    </row>
    <row r="292" spans="1:19" ht="15.75" customHeight="1" x14ac:dyDescent="0.25">
      <c r="B292" s="1"/>
      <c r="D292" s="1"/>
      <c r="F292" s="1"/>
      <c r="H292" s="1"/>
      <c r="J292" s="1"/>
      <c r="P292" s="308"/>
    </row>
    <row r="293" spans="1:19" ht="15.75" customHeight="1" x14ac:dyDescent="0.25">
      <c r="B293" s="1"/>
      <c r="D293" s="1"/>
      <c r="F293" s="1"/>
      <c r="H293" s="1"/>
      <c r="J293" s="1"/>
      <c r="P293" s="308"/>
    </row>
    <row r="294" spans="1:19" ht="15.75" customHeight="1" x14ac:dyDescent="0.25">
      <c r="B294" s="1"/>
      <c r="D294" s="1"/>
      <c r="F294" s="1"/>
      <c r="H294" s="1"/>
      <c r="J294" s="1"/>
      <c r="P294" s="308"/>
    </row>
    <row r="295" spans="1:19" ht="15.75" customHeight="1" x14ac:dyDescent="0.25">
      <c r="B295" s="1"/>
      <c r="D295" s="1"/>
      <c r="F295" s="1"/>
      <c r="H295" s="1"/>
      <c r="J295" s="1"/>
      <c r="P295" s="308"/>
    </row>
    <row r="296" spans="1:19" x14ac:dyDescent="0.25">
      <c r="B296" s="1"/>
      <c r="D296" s="1"/>
      <c r="F296" s="1"/>
      <c r="H296" s="1"/>
      <c r="J296" s="1"/>
      <c r="P296" s="308"/>
    </row>
    <row r="297" spans="1:19" x14ac:dyDescent="0.25">
      <c r="B297" s="1"/>
      <c r="D297" s="1"/>
      <c r="F297" s="1"/>
      <c r="H297" s="1"/>
      <c r="J297" s="1"/>
      <c r="P297" s="308"/>
    </row>
    <row r="298" spans="1:19" x14ac:dyDescent="0.25">
      <c r="B298" s="1"/>
      <c r="D298" s="1"/>
      <c r="F298" s="1"/>
      <c r="H298" s="1"/>
      <c r="J298" s="1"/>
      <c r="P298" s="308"/>
    </row>
    <row r="299" spans="1:19" s="5" customFormat="1" x14ac:dyDescent="0.25">
      <c r="A299" s="10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308"/>
      <c r="Q299" s="1"/>
      <c r="R299" s="24"/>
      <c r="S299" s="44"/>
    </row>
    <row r="300" spans="1:19" x14ac:dyDescent="0.25">
      <c r="B300" s="1"/>
      <c r="D300" s="1"/>
      <c r="F300" s="1"/>
      <c r="H300" s="1"/>
      <c r="J300" s="1"/>
      <c r="P300" s="308"/>
    </row>
    <row r="301" spans="1:19" x14ac:dyDescent="0.25">
      <c r="B301" s="1"/>
      <c r="D301" s="1"/>
      <c r="F301" s="1"/>
      <c r="H301" s="1"/>
      <c r="J301" s="1"/>
      <c r="P301" s="308"/>
    </row>
    <row r="302" spans="1:19" x14ac:dyDescent="0.25">
      <c r="B302" s="1"/>
      <c r="D302" s="1"/>
      <c r="F302" s="1"/>
      <c r="H302" s="1"/>
      <c r="J302" s="1"/>
      <c r="P302" s="308"/>
    </row>
    <row r="303" spans="1:19" x14ac:dyDescent="0.25">
      <c r="B303" s="1"/>
      <c r="D303" s="1"/>
      <c r="F303" s="1"/>
      <c r="H303" s="1"/>
      <c r="J303" s="1"/>
      <c r="P303" s="308"/>
    </row>
    <row r="304" spans="1:19" x14ac:dyDescent="0.25">
      <c r="B304" s="1"/>
      <c r="D304" s="1"/>
      <c r="F304" s="1"/>
      <c r="H304" s="1"/>
      <c r="J304" s="1"/>
      <c r="P304" s="308"/>
    </row>
    <row r="305" spans="2:16" x14ac:dyDescent="0.25">
      <c r="B305" s="1"/>
      <c r="D305" s="1"/>
      <c r="F305" s="1"/>
      <c r="H305" s="1"/>
      <c r="J305" s="1"/>
      <c r="P305" s="308"/>
    </row>
    <row r="306" spans="2:16" x14ac:dyDescent="0.25">
      <c r="B306" s="1"/>
      <c r="D306" s="1"/>
      <c r="F306" s="1"/>
      <c r="H306" s="1"/>
      <c r="J306" s="1"/>
      <c r="P306" s="308"/>
    </row>
    <row r="307" spans="2:16" x14ac:dyDescent="0.25">
      <c r="B307" s="1"/>
      <c r="D307" s="1"/>
      <c r="F307" s="1"/>
      <c r="H307" s="1"/>
      <c r="J307" s="1"/>
      <c r="P307" s="308"/>
    </row>
    <row r="308" spans="2:16" x14ac:dyDescent="0.25">
      <c r="B308" s="1"/>
      <c r="D308" s="1"/>
      <c r="F308" s="1"/>
      <c r="H308" s="1"/>
      <c r="J308" s="1"/>
      <c r="P308" s="308"/>
    </row>
    <row r="309" spans="2:16" x14ac:dyDescent="0.25">
      <c r="B309" s="1"/>
      <c r="D309" s="1"/>
      <c r="F309" s="1"/>
      <c r="H309" s="1"/>
      <c r="J309" s="1"/>
      <c r="P309" s="308"/>
    </row>
    <row r="310" spans="2:16" x14ac:dyDescent="0.25">
      <c r="B310" s="1"/>
      <c r="D310" s="1"/>
      <c r="F310" s="1"/>
      <c r="H310" s="1"/>
      <c r="J310" s="1"/>
      <c r="P310" s="308"/>
    </row>
    <row r="311" spans="2:16" x14ac:dyDescent="0.25">
      <c r="B311" s="1"/>
      <c r="D311" s="1"/>
      <c r="F311" s="1"/>
      <c r="H311" s="1"/>
      <c r="J311" s="1"/>
      <c r="P311" s="308"/>
    </row>
    <row r="312" spans="2:16" x14ac:dyDescent="0.25">
      <c r="B312" s="1"/>
      <c r="D312" s="1"/>
      <c r="F312" s="1"/>
      <c r="H312" s="1"/>
      <c r="J312" s="1"/>
      <c r="P312" s="308"/>
    </row>
    <row r="313" spans="2:16" x14ac:dyDescent="0.25">
      <c r="B313" s="1"/>
      <c r="D313" s="1"/>
      <c r="F313" s="1"/>
      <c r="H313" s="1"/>
      <c r="J313" s="1"/>
      <c r="P313" s="308"/>
    </row>
    <row r="314" spans="2:16" x14ac:dyDescent="0.25">
      <c r="B314" s="1"/>
      <c r="D314" s="1"/>
      <c r="F314" s="1"/>
      <c r="H314" s="1"/>
      <c r="J314" s="1"/>
      <c r="P314" s="308"/>
    </row>
    <row r="315" spans="2:16" x14ac:dyDescent="0.25">
      <c r="B315" s="1"/>
      <c r="D315" s="1"/>
      <c r="F315" s="1"/>
      <c r="H315" s="1"/>
      <c r="J315" s="1"/>
      <c r="P315" s="308"/>
    </row>
    <row r="316" spans="2:16" x14ac:dyDescent="0.25">
      <c r="B316" s="1"/>
      <c r="D316" s="1"/>
      <c r="F316" s="1"/>
      <c r="H316" s="1"/>
      <c r="J316" s="1"/>
      <c r="P316" s="308"/>
    </row>
    <row r="317" spans="2:16" x14ac:dyDescent="0.25">
      <c r="B317" s="1"/>
      <c r="D317" s="1"/>
      <c r="F317" s="1"/>
      <c r="H317" s="1"/>
      <c r="J317" s="1"/>
      <c r="P317" s="308"/>
    </row>
    <row r="318" spans="2:16" x14ac:dyDescent="0.25">
      <c r="B318" s="1"/>
      <c r="D318" s="1"/>
      <c r="F318" s="1"/>
      <c r="H318" s="1"/>
      <c r="J318" s="1"/>
      <c r="P318" s="308"/>
    </row>
    <row r="319" spans="2:16" x14ac:dyDescent="0.25">
      <c r="B319" s="1"/>
      <c r="D319" s="1"/>
      <c r="F319" s="1"/>
      <c r="H319" s="1"/>
      <c r="J319" s="1"/>
      <c r="P319" s="308"/>
    </row>
    <row r="320" spans="2:16" x14ac:dyDescent="0.25">
      <c r="B320" s="1"/>
      <c r="D320" s="1"/>
      <c r="F320" s="1"/>
      <c r="H320" s="1"/>
      <c r="J320" s="1"/>
      <c r="P320" s="308"/>
    </row>
    <row r="321" spans="2:16" x14ac:dyDescent="0.25">
      <c r="B321" s="1"/>
      <c r="D321" s="1"/>
      <c r="F321" s="1"/>
      <c r="H321" s="1"/>
      <c r="J321" s="1"/>
      <c r="P321" s="308"/>
    </row>
    <row r="322" spans="2:16" x14ac:dyDescent="0.25">
      <c r="B322" s="1"/>
      <c r="D322" s="1"/>
      <c r="F322" s="1"/>
      <c r="H322" s="1"/>
      <c r="J322" s="1"/>
      <c r="P322" s="308"/>
    </row>
    <row r="323" spans="2:16" x14ac:dyDescent="0.25">
      <c r="B323" s="1"/>
      <c r="D323" s="1"/>
      <c r="F323" s="1"/>
      <c r="H323" s="1"/>
      <c r="J323" s="1"/>
      <c r="P323" s="308"/>
    </row>
    <row r="324" spans="2:16" x14ac:dyDescent="0.25">
      <c r="B324" s="1"/>
      <c r="D324" s="1"/>
      <c r="F324" s="1"/>
      <c r="H324" s="1"/>
      <c r="J324" s="1"/>
      <c r="P324" s="308"/>
    </row>
    <row r="325" spans="2:16" x14ac:dyDescent="0.25">
      <c r="B325" s="1"/>
      <c r="D325" s="1"/>
      <c r="F325" s="1"/>
      <c r="H325" s="1"/>
      <c r="J325" s="1"/>
      <c r="P325" s="308"/>
    </row>
    <row r="326" spans="2:16" x14ac:dyDescent="0.25">
      <c r="B326" s="1"/>
      <c r="D326" s="1"/>
      <c r="F326" s="1"/>
      <c r="H326" s="1"/>
      <c r="J326" s="1"/>
      <c r="P326" s="308"/>
    </row>
    <row r="327" spans="2:16" x14ac:dyDescent="0.25">
      <c r="B327" s="1"/>
      <c r="D327" s="1"/>
      <c r="F327" s="1"/>
      <c r="H327" s="1"/>
      <c r="J327" s="1"/>
      <c r="P327" s="308"/>
    </row>
    <row r="328" spans="2:16" x14ac:dyDescent="0.25">
      <c r="B328" s="1"/>
      <c r="D328" s="1"/>
      <c r="F328" s="1"/>
      <c r="H328" s="1"/>
      <c r="J328" s="1"/>
      <c r="P328" s="308"/>
    </row>
    <row r="329" spans="2:16" x14ac:dyDescent="0.25">
      <c r="B329" s="1"/>
      <c r="D329" s="1"/>
      <c r="F329" s="1"/>
      <c r="H329" s="1"/>
      <c r="J329" s="1"/>
      <c r="P329" s="308"/>
    </row>
    <row r="330" spans="2:16" x14ac:dyDescent="0.25">
      <c r="B330" s="1"/>
      <c r="D330" s="1"/>
      <c r="F330" s="1"/>
      <c r="H330" s="1"/>
      <c r="J330" s="1"/>
      <c r="P330" s="308"/>
    </row>
    <row r="331" spans="2:16" x14ac:dyDescent="0.25">
      <c r="B331" s="1"/>
      <c r="D331" s="1"/>
      <c r="F331" s="1"/>
      <c r="H331" s="1"/>
      <c r="J331" s="1"/>
      <c r="P331" s="308"/>
    </row>
    <row r="332" spans="2:16" x14ac:dyDescent="0.25">
      <c r="B332" s="1"/>
      <c r="D332" s="1"/>
      <c r="F332" s="1"/>
      <c r="H332" s="1"/>
      <c r="J332" s="1"/>
      <c r="P332" s="308"/>
    </row>
    <row r="333" spans="2:16" x14ac:dyDescent="0.25">
      <c r="B333" s="1"/>
      <c r="D333" s="1"/>
      <c r="F333" s="1"/>
      <c r="H333" s="1"/>
      <c r="J333" s="1"/>
      <c r="P333" s="308"/>
    </row>
    <row r="334" spans="2:16" x14ac:dyDescent="0.25">
      <c r="B334" s="1"/>
      <c r="D334" s="1"/>
      <c r="F334" s="1"/>
      <c r="H334" s="1"/>
      <c r="J334" s="1"/>
      <c r="P334" s="308"/>
    </row>
    <row r="335" spans="2:16" x14ac:dyDescent="0.25">
      <c r="B335" s="1"/>
      <c r="D335" s="1"/>
      <c r="F335" s="1"/>
      <c r="H335" s="1"/>
      <c r="J335" s="1"/>
      <c r="P335" s="308"/>
    </row>
    <row r="336" spans="2:16" x14ac:dyDescent="0.25">
      <c r="B336" s="1"/>
      <c r="D336" s="1"/>
      <c r="F336" s="1"/>
      <c r="H336" s="1"/>
      <c r="J336" s="1"/>
      <c r="P336" s="308"/>
    </row>
    <row r="337" spans="2:16" x14ac:dyDescent="0.25">
      <c r="B337" s="1"/>
      <c r="D337" s="1"/>
      <c r="F337" s="1"/>
      <c r="H337" s="1"/>
      <c r="J337" s="1"/>
      <c r="P337" s="308"/>
    </row>
    <row r="338" spans="2:16" x14ac:dyDescent="0.25">
      <c r="B338" s="1"/>
      <c r="D338" s="1"/>
      <c r="F338" s="1"/>
      <c r="H338" s="1"/>
      <c r="J338" s="1"/>
      <c r="P338" s="308"/>
    </row>
    <row r="339" spans="2:16" x14ac:dyDescent="0.25">
      <c r="B339" s="1"/>
      <c r="D339" s="1"/>
      <c r="F339" s="1"/>
      <c r="H339" s="1"/>
      <c r="J339" s="1"/>
      <c r="P339" s="308"/>
    </row>
    <row r="340" spans="2:16" x14ac:dyDescent="0.25">
      <c r="B340" s="1"/>
      <c r="D340" s="1"/>
      <c r="F340" s="1"/>
      <c r="H340" s="1"/>
      <c r="J340" s="1"/>
      <c r="P340" s="308"/>
    </row>
    <row r="341" spans="2:16" x14ac:dyDescent="0.25">
      <c r="B341" s="1"/>
      <c r="D341" s="1"/>
      <c r="F341" s="1"/>
      <c r="H341" s="1"/>
      <c r="J341" s="1"/>
      <c r="P341" s="308"/>
    </row>
    <row r="342" spans="2:16" x14ac:dyDescent="0.25">
      <c r="B342" s="1"/>
      <c r="D342" s="1"/>
      <c r="F342" s="1"/>
      <c r="H342" s="1"/>
      <c r="J342" s="1"/>
      <c r="P342" s="308"/>
    </row>
    <row r="343" spans="2:16" x14ac:dyDescent="0.25">
      <c r="B343" s="1"/>
      <c r="D343" s="1"/>
      <c r="F343" s="1"/>
      <c r="H343" s="1"/>
      <c r="J343" s="1"/>
      <c r="P343" s="308"/>
    </row>
    <row r="344" spans="2:16" x14ac:dyDescent="0.25">
      <c r="B344" s="1"/>
      <c r="D344" s="1"/>
      <c r="F344" s="1"/>
      <c r="H344" s="1"/>
      <c r="J344" s="1"/>
      <c r="P344" s="308"/>
    </row>
    <row r="345" spans="2:16" x14ac:dyDescent="0.25">
      <c r="B345" s="1"/>
      <c r="D345" s="1"/>
      <c r="F345" s="1"/>
      <c r="H345" s="1"/>
      <c r="J345" s="1"/>
      <c r="P345" s="308"/>
    </row>
    <row r="346" spans="2:16" x14ac:dyDescent="0.25">
      <c r="B346" s="1"/>
      <c r="D346" s="1"/>
      <c r="F346" s="1"/>
      <c r="H346" s="1"/>
      <c r="J346" s="1"/>
      <c r="P346" s="308"/>
    </row>
    <row r="347" spans="2:16" x14ac:dyDescent="0.25">
      <c r="B347" s="1"/>
      <c r="D347" s="1"/>
      <c r="F347" s="1"/>
      <c r="H347" s="1"/>
      <c r="J347" s="1"/>
      <c r="P347" s="308"/>
    </row>
    <row r="348" spans="2:16" x14ac:dyDescent="0.25">
      <c r="B348" s="1"/>
      <c r="D348" s="1"/>
      <c r="F348" s="1"/>
      <c r="H348" s="1"/>
      <c r="J348" s="1"/>
      <c r="P348" s="308"/>
    </row>
    <row r="349" spans="2:16" x14ac:dyDescent="0.25">
      <c r="B349" s="1"/>
      <c r="D349" s="1"/>
      <c r="F349" s="1"/>
      <c r="H349" s="1"/>
      <c r="J349" s="1"/>
      <c r="P349" s="308"/>
    </row>
    <row r="350" spans="2:16" x14ac:dyDescent="0.25">
      <c r="B350" s="1"/>
      <c r="D350" s="1"/>
      <c r="F350" s="1"/>
      <c r="H350" s="1"/>
      <c r="J350" s="1"/>
      <c r="P350" s="308"/>
    </row>
    <row r="351" spans="2:16" x14ac:dyDescent="0.25">
      <c r="B351" s="1"/>
      <c r="D351" s="1"/>
      <c r="F351" s="1"/>
      <c r="H351" s="1"/>
      <c r="J351" s="1"/>
      <c r="P351" s="308"/>
    </row>
    <row r="352" spans="2:16" x14ac:dyDescent="0.25">
      <c r="B352" s="1"/>
      <c r="D352" s="1"/>
      <c r="F352" s="1"/>
      <c r="H352" s="1"/>
      <c r="J352" s="1"/>
      <c r="P352" s="308"/>
    </row>
    <row r="353" spans="2:16" x14ac:dyDescent="0.25">
      <c r="B353" s="1"/>
      <c r="D353" s="1"/>
      <c r="F353" s="1"/>
      <c r="H353" s="1"/>
      <c r="J353" s="1"/>
      <c r="P353" s="308"/>
    </row>
    <row r="354" spans="2:16" x14ac:dyDescent="0.25">
      <c r="B354" s="1"/>
      <c r="D354" s="1"/>
      <c r="F354" s="1"/>
      <c r="H354" s="1"/>
      <c r="J354" s="1"/>
      <c r="P354" s="308"/>
    </row>
    <row r="355" spans="2:16" x14ac:dyDescent="0.25">
      <c r="B355" s="1"/>
      <c r="D355" s="1"/>
      <c r="F355" s="1"/>
      <c r="H355" s="1"/>
      <c r="J355" s="1"/>
      <c r="P355" s="308"/>
    </row>
    <row r="356" spans="2:16" x14ac:dyDescent="0.25">
      <c r="B356" s="1"/>
      <c r="D356" s="1"/>
      <c r="F356" s="1"/>
      <c r="H356" s="1"/>
      <c r="J356" s="1"/>
      <c r="P356" s="308"/>
    </row>
    <row r="357" spans="2:16" x14ac:dyDescent="0.25">
      <c r="B357" s="1"/>
      <c r="D357" s="1"/>
      <c r="F357" s="1"/>
      <c r="H357" s="1"/>
      <c r="J357" s="1"/>
      <c r="P357" s="308"/>
    </row>
    <row r="358" spans="2:16" x14ac:dyDescent="0.25">
      <c r="B358" s="1"/>
      <c r="D358" s="1"/>
      <c r="F358" s="1"/>
      <c r="H358" s="1"/>
      <c r="J358" s="1"/>
      <c r="P358" s="308"/>
    </row>
    <row r="359" spans="2:16" x14ac:dyDescent="0.25">
      <c r="B359" s="1"/>
      <c r="D359" s="1"/>
      <c r="F359" s="1"/>
      <c r="H359" s="1"/>
      <c r="J359" s="1"/>
      <c r="P359" s="308"/>
    </row>
    <row r="360" spans="2:16" x14ac:dyDescent="0.25">
      <c r="B360" s="1"/>
      <c r="D360" s="1"/>
      <c r="F360" s="1"/>
      <c r="H360" s="1"/>
      <c r="J360" s="1"/>
      <c r="P360" s="308"/>
    </row>
    <row r="361" spans="2:16" x14ac:dyDescent="0.25">
      <c r="B361" s="1"/>
      <c r="D361" s="1"/>
      <c r="F361" s="1"/>
      <c r="H361" s="1"/>
      <c r="J361" s="1"/>
      <c r="P361" s="308"/>
    </row>
    <row r="362" spans="2:16" x14ac:dyDescent="0.25">
      <c r="B362" s="1"/>
      <c r="D362" s="1"/>
      <c r="F362" s="1"/>
      <c r="H362" s="1"/>
      <c r="J362" s="1"/>
      <c r="P362" s="308"/>
    </row>
    <row r="363" spans="2:16" x14ac:dyDescent="0.25">
      <c r="B363" s="1"/>
      <c r="D363" s="1"/>
      <c r="F363" s="1"/>
      <c r="H363" s="1"/>
      <c r="J363" s="1"/>
      <c r="P363" s="308"/>
    </row>
    <row r="364" spans="2:16" x14ac:dyDescent="0.25">
      <c r="B364" s="1"/>
      <c r="D364" s="1"/>
      <c r="F364" s="1"/>
      <c r="H364" s="1"/>
      <c r="J364" s="1"/>
      <c r="P364" s="308"/>
    </row>
    <row r="365" spans="2:16" x14ac:dyDescent="0.25">
      <c r="B365" s="1"/>
      <c r="D365" s="1"/>
      <c r="F365" s="1"/>
      <c r="H365" s="1"/>
      <c r="J365" s="1"/>
      <c r="P365" s="308"/>
    </row>
    <row r="366" spans="2:16" x14ac:dyDescent="0.25">
      <c r="B366" s="1"/>
      <c r="D366" s="1"/>
      <c r="F366" s="1"/>
      <c r="H366" s="1"/>
      <c r="J366" s="1"/>
      <c r="P366" s="308"/>
    </row>
    <row r="367" spans="2:16" x14ac:dyDescent="0.25">
      <c r="B367" s="1"/>
      <c r="D367" s="1"/>
      <c r="F367" s="1"/>
      <c r="H367" s="1"/>
      <c r="J367" s="1"/>
      <c r="P367" s="308"/>
    </row>
    <row r="368" spans="2:16" x14ac:dyDescent="0.25">
      <c r="B368" s="1"/>
      <c r="D368" s="1"/>
      <c r="F368" s="1"/>
      <c r="H368" s="1"/>
      <c r="J368" s="1"/>
      <c r="P368" s="308"/>
    </row>
    <row r="369" spans="1:18" x14ac:dyDescent="0.25">
      <c r="B369" s="1"/>
      <c r="D369" s="1"/>
      <c r="F369" s="1"/>
      <c r="H369" s="1"/>
      <c r="J369" s="1"/>
      <c r="P369" s="308"/>
    </row>
    <row r="370" spans="1:18" x14ac:dyDescent="0.25">
      <c r="B370" s="1"/>
      <c r="D370" s="1"/>
      <c r="F370" s="1"/>
      <c r="H370" s="1"/>
      <c r="J370" s="1"/>
      <c r="P370" s="308"/>
    </row>
    <row r="371" spans="1:18" x14ac:dyDescent="0.25">
      <c r="A371" s="243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308"/>
      <c r="Q371" s="11"/>
      <c r="R371" s="244"/>
    </row>
    <row r="372" spans="1:18" x14ac:dyDescent="0.25">
      <c r="A372" s="243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308"/>
      <c r="Q372" s="11"/>
      <c r="R372" s="244"/>
    </row>
    <row r="373" spans="1:18" x14ac:dyDescent="0.25">
      <c r="A373" s="243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308"/>
      <c r="Q373" s="11"/>
      <c r="R373" s="244"/>
    </row>
    <row r="374" spans="1:18" x14ac:dyDescent="0.25">
      <c r="A374" s="243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308"/>
      <c r="Q374" s="11"/>
      <c r="R374" s="244"/>
    </row>
    <row r="375" spans="1:18" x14ac:dyDescent="0.25">
      <c r="A375" s="243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308"/>
      <c r="Q375" s="11"/>
      <c r="R375" s="244"/>
    </row>
    <row r="376" spans="1:18" x14ac:dyDescent="0.25">
      <c r="A376" s="243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308"/>
      <c r="Q376" s="11"/>
      <c r="R376" s="244"/>
    </row>
    <row r="377" spans="1:18" x14ac:dyDescent="0.25">
      <c r="A377" s="243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308"/>
      <c r="Q377" s="11"/>
      <c r="R377" s="244"/>
    </row>
    <row r="378" spans="1:18" x14ac:dyDescent="0.25">
      <c r="A378" s="243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308"/>
      <c r="Q378" s="11"/>
      <c r="R378" s="244"/>
    </row>
    <row r="379" spans="1:18" x14ac:dyDescent="0.25">
      <c r="A379" s="243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308"/>
      <c r="Q379" s="11"/>
      <c r="R379" s="244"/>
    </row>
    <row r="380" spans="1:18" x14ac:dyDescent="0.25">
      <c r="A380" s="243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308"/>
      <c r="Q380" s="11"/>
      <c r="R380" s="244"/>
    </row>
    <row r="381" spans="1:18" x14ac:dyDescent="0.25">
      <c r="A381" s="243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308"/>
      <c r="Q381" s="11"/>
      <c r="R381" s="244"/>
    </row>
    <row r="382" spans="1:18" x14ac:dyDescent="0.25">
      <c r="A382" s="243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308"/>
      <c r="Q382" s="11"/>
      <c r="R382" s="244"/>
    </row>
    <row r="383" spans="1:18" x14ac:dyDescent="0.25">
      <c r="A383" s="243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308"/>
      <c r="Q383" s="11"/>
      <c r="R383" s="244"/>
    </row>
    <row r="384" spans="1:18" x14ac:dyDescent="0.25">
      <c r="A384" s="243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308"/>
      <c r="Q384" s="11"/>
      <c r="R384" s="244"/>
    </row>
    <row r="385" spans="1:18" x14ac:dyDescent="0.25">
      <c r="A385" s="243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308"/>
      <c r="Q385" s="11"/>
      <c r="R385" s="244"/>
    </row>
    <row r="386" spans="1:18" x14ac:dyDescent="0.25">
      <c r="A386" s="243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308"/>
      <c r="Q386" s="11"/>
      <c r="R386" s="244"/>
    </row>
    <row r="387" spans="1:18" x14ac:dyDescent="0.25">
      <c r="A387" s="243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308"/>
      <c r="Q387" s="11"/>
      <c r="R387" s="244"/>
    </row>
    <row r="388" spans="1:18" x14ac:dyDescent="0.25">
      <c r="A388" s="243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308"/>
      <c r="Q388" s="11"/>
      <c r="R388" s="244"/>
    </row>
    <row r="389" spans="1:18" x14ac:dyDescent="0.25">
      <c r="A389" s="243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308"/>
      <c r="Q389" s="11"/>
      <c r="R389" s="244"/>
    </row>
    <row r="390" spans="1:18" x14ac:dyDescent="0.25">
      <c r="A390" s="243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308"/>
      <c r="Q390" s="11"/>
      <c r="R390" s="244"/>
    </row>
    <row r="391" spans="1:18" x14ac:dyDescent="0.25">
      <c r="A391" s="243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308"/>
      <c r="Q391" s="11"/>
      <c r="R391" s="244"/>
    </row>
    <row r="392" spans="1:18" x14ac:dyDescent="0.25">
      <c r="A392" s="243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308"/>
      <c r="Q392" s="11"/>
      <c r="R392" s="244"/>
    </row>
    <row r="393" spans="1:18" x14ac:dyDescent="0.25">
      <c r="A393" s="243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308"/>
      <c r="Q393" s="11"/>
      <c r="R393" s="244"/>
    </row>
    <row r="394" spans="1:18" x14ac:dyDescent="0.25">
      <c r="A394" s="243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308"/>
      <c r="Q394" s="11"/>
      <c r="R394" s="244"/>
    </row>
    <row r="395" spans="1:18" x14ac:dyDescent="0.25">
      <c r="A395" s="243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308"/>
      <c r="Q395" s="11"/>
      <c r="R395" s="244"/>
    </row>
    <row r="396" spans="1:18" x14ac:dyDescent="0.25">
      <c r="A396" s="243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308"/>
      <c r="Q396" s="11"/>
      <c r="R396" s="244"/>
    </row>
    <row r="397" spans="1:18" x14ac:dyDescent="0.25">
      <c r="A397" s="243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308"/>
      <c r="Q397" s="11"/>
      <c r="R397" s="244"/>
    </row>
    <row r="398" spans="1:18" x14ac:dyDescent="0.25">
      <c r="A398" s="243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308"/>
      <c r="Q398" s="11"/>
      <c r="R398" s="244"/>
    </row>
    <row r="399" spans="1:18" x14ac:dyDescent="0.25">
      <c r="A399" s="243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308"/>
      <c r="Q399" s="11"/>
      <c r="R399" s="244"/>
    </row>
    <row r="400" spans="1:18" x14ac:dyDescent="0.25">
      <c r="A400" s="243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308"/>
      <c r="Q400" s="11"/>
      <c r="R400" s="244"/>
    </row>
    <row r="401" spans="1:18" x14ac:dyDescent="0.25">
      <c r="A401" s="243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308"/>
      <c r="Q401" s="11"/>
      <c r="R401" s="244"/>
    </row>
    <row r="402" spans="1:18" x14ac:dyDescent="0.25">
      <c r="A402" s="243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308"/>
      <c r="Q402" s="11"/>
      <c r="R402" s="244"/>
    </row>
    <row r="403" spans="1:18" x14ac:dyDescent="0.25">
      <c r="A403" s="243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308"/>
      <c r="Q403" s="11"/>
      <c r="R403" s="244"/>
    </row>
    <row r="404" spans="1:18" x14ac:dyDescent="0.25">
      <c r="A404" s="243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308"/>
      <c r="Q404" s="11"/>
      <c r="R404" s="244"/>
    </row>
    <row r="405" spans="1:18" x14ac:dyDescent="0.25">
      <c r="A405" s="243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308"/>
      <c r="Q405" s="11"/>
      <c r="R405" s="244"/>
    </row>
    <row r="406" spans="1:18" x14ac:dyDescent="0.25">
      <c r="A406" s="243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308"/>
      <c r="Q406" s="11"/>
      <c r="R406" s="244"/>
    </row>
    <row r="407" spans="1:18" x14ac:dyDescent="0.25">
      <c r="A407" s="243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308"/>
      <c r="Q407" s="11"/>
      <c r="R407" s="244"/>
    </row>
    <row r="408" spans="1:18" x14ac:dyDescent="0.25">
      <c r="A408" s="243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308"/>
      <c r="Q408" s="11"/>
      <c r="R408" s="244"/>
    </row>
    <row r="409" spans="1:18" x14ac:dyDescent="0.25">
      <c r="A409" s="243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308"/>
      <c r="Q409" s="11"/>
      <c r="R409" s="244"/>
    </row>
    <row r="410" spans="1:18" x14ac:dyDescent="0.25">
      <c r="A410" s="243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308"/>
      <c r="Q410" s="11"/>
      <c r="R410" s="244"/>
    </row>
    <row r="411" spans="1:18" x14ac:dyDescent="0.25">
      <c r="A411" s="243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308"/>
      <c r="Q411" s="11"/>
      <c r="R411" s="244"/>
    </row>
    <row r="412" spans="1:18" x14ac:dyDescent="0.25">
      <c r="A412" s="243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308"/>
      <c r="Q412" s="11"/>
      <c r="R412" s="244"/>
    </row>
    <row r="413" spans="1:18" x14ac:dyDescent="0.25">
      <c r="A413" s="243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308"/>
      <c r="Q413" s="11"/>
      <c r="R413" s="244"/>
    </row>
    <row r="414" spans="1:18" x14ac:dyDescent="0.25">
      <c r="A414" s="243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308"/>
      <c r="Q414" s="11"/>
      <c r="R414" s="244"/>
    </row>
    <row r="415" spans="1:18" x14ac:dyDescent="0.25">
      <c r="A415" s="243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308"/>
      <c r="Q415" s="11"/>
      <c r="R415" s="244"/>
    </row>
    <row r="416" spans="1:18" x14ac:dyDescent="0.25">
      <c r="A416" s="243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308"/>
      <c r="Q416" s="11"/>
      <c r="R416" s="244"/>
    </row>
    <row r="417" spans="1:18" x14ac:dyDescent="0.25">
      <c r="A417" s="243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308"/>
      <c r="Q417" s="11"/>
      <c r="R417" s="244"/>
    </row>
    <row r="418" spans="1:18" x14ac:dyDescent="0.25">
      <c r="A418" s="243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308"/>
      <c r="Q418" s="11"/>
      <c r="R418" s="244"/>
    </row>
    <row r="419" spans="1:18" x14ac:dyDescent="0.25">
      <c r="A419" s="243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308"/>
      <c r="Q419" s="11"/>
      <c r="R419" s="244"/>
    </row>
    <row r="420" spans="1:18" x14ac:dyDescent="0.25">
      <c r="A420" s="243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308"/>
      <c r="Q420" s="11"/>
      <c r="R420" s="244"/>
    </row>
    <row r="421" spans="1:18" x14ac:dyDescent="0.25">
      <c r="A421" s="243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308"/>
      <c r="Q421" s="11"/>
      <c r="R421" s="244"/>
    </row>
    <row r="422" spans="1:18" x14ac:dyDescent="0.25">
      <c r="A422" s="243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308"/>
      <c r="Q422" s="11"/>
      <c r="R422" s="244"/>
    </row>
    <row r="423" spans="1:18" x14ac:dyDescent="0.25">
      <c r="A423" s="243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308"/>
      <c r="Q423" s="11"/>
      <c r="R423" s="244"/>
    </row>
    <row r="424" spans="1:18" x14ac:dyDescent="0.25">
      <c r="A424" s="243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308"/>
      <c r="Q424" s="11"/>
      <c r="R424" s="244"/>
    </row>
    <row r="425" spans="1:18" x14ac:dyDescent="0.25">
      <c r="A425" s="243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308"/>
      <c r="Q425" s="11"/>
      <c r="R425" s="244"/>
    </row>
    <row r="426" spans="1:18" x14ac:dyDescent="0.25">
      <c r="A426" s="243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308"/>
      <c r="Q426" s="11"/>
      <c r="R426" s="244"/>
    </row>
    <row r="427" spans="1:18" x14ac:dyDescent="0.25">
      <c r="A427" s="243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308"/>
      <c r="Q427" s="11"/>
      <c r="R427" s="244"/>
    </row>
    <row r="428" spans="1:18" x14ac:dyDescent="0.25">
      <c r="A428" s="243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308"/>
      <c r="Q428" s="11"/>
      <c r="R428" s="244"/>
    </row>
    <row r="429" spans="1:18" x14ac:dyDescent="0.25">
      <c r="A429" s="243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308"/>
      <c r="Q429" s="11"/>
      <c r="R429" s="244"/>
    </row>
    <row r="430" spans="1:18" x14ac:dyDescent="0.25">
      <c r="A430" s="243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308"/>
      <c r="Q430" s="11"/>
      <c r="R430" s="244"/>
    </row>
    <row r="431" spans="1:18" x14ac:dyDescent="0.25">
      <c r="A431" s="243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308"/>
      <c r="Q431" s="11"/>
      <c r="R431" s="244"/>
    </row>
    <row r="432" spans="1:18" x14ac:dyDescent="0.25">
      <c r="A432" s="243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308"/>
      <c r="Q432" s="11"/>
      <c r="R432" s="244"/>
    </row>
    <row r="433" spans="1:18" x14ac:dyDescent="0.25">
      <c r="A433" s="243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308"/>
      <c r="Q433" s="11"/>
      <c r="R433" s="244"/>
    </row>
    <row r="434" spans="1:18" x14ac:dyDescent="0.25">
      <c r="A434" s="243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308"/>
      <c r="Q434" s="11"/>
      <c r="R434" s="244"/>
    </row>
    <row r="435" spans="1:18" x14ac:dyDescent="0.25">
      <c r="A435" s="243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308"/>
      <c r="Q435" s="11"/>
      <c r="R435" s="244"/>
    </row>
    <row r="436" spans="1:18" x14ac:dyDescent="0.25">
      <c r="A436" s="243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308"/>
      <c r="Q436" s="11"/>
      <c r="R436" s="244"/>
    </row>
    <row r="437" spans="1:18" x14ac:dyDescent="0.25">
      <c r="A437" s="243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308"/>
      <c r="Q437" s="11"/>
      <c r="R437" s="244"/>
    </row>
    <row r="438" spans="1:18" x14ac:dyDescent="0.25">
      <c r="A438" s="243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308"/>
      <c r="Q438" s="11"/>
      <c r="R438" s="244"/>
    </row>
    <row r="439" spans="1:18" x14ac:dyDescent="0.25">
      <c r="A439" s="243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308"/>
      <c r="Q439" s="11"/>
      <c r="R439" s="244"/>
    </row>
    <row r="440" spans="1:18" x14ac:dyDescent="0.25">
      <c r="A440" s="243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308"/>
      <c r="Q440" s="11"/>
      <c r="R440" s="244"/>
    </row>
    <row r="441" spans="1:18" x14ac:dyDescent="0.25">
      <c r="A441" s="243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308"/>
      <c r="Q441" s="11"/>
      <c r="R441" s="244"/>
    </row>
    <row r="442" spans="1:18" x14ac:dyDescent="0.25">
      <c r="A442" s="243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308"/>
      <c r="Q442" s="11"/>
      <c r="R442" s="244"/>
    </row>
    <row r="443" spans="1:18" x14ac:dyDescent="0.25">
      <c r="A443" s="243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308"/>
      <c r="Q443" s="11"/>
      <c r="R443" s="244"/>
    </row>
    <row r="444" spans="1:18" x14ac:dyDescent="0.25">
      <c r="A444" s="243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308"/>
      <c r="Q444" s="11"/>
      <c r="R444" s="244"/>
    </row>
    <row r="445" spans="1:18" x14ac:dyDescent="0.25">
      <c r="A445" s="243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308"/>
      <c r="Q445" s="11"/>
      <c r="R445" s="244"/>
    </row>
    <row r="446" spans="1:18" x14ac:dyDescent="0.25">
      <c r="A446" s="243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308"/>
      <c r="Q446" s="11"/>
      <c r="R446" s="244"/>
    </row>
    <row r="447" spans="1:18" x14ac:dyDescent="0.25">
      <c r="A447" s="243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308"/>
      <c r="Q447" s="11"/>
      <c r="R447" s="244"/>
    </row>
    <row r="448" spans="1:18" x14ac:dyDescent="0.25">
      <c r="A448" s="243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308"/>
      <c r="Q448" s="11"/>
      <c r="R448" s="244"/>
    </row>
    <row r="449" spans="1:18" x14ac:dyDescent="0.25">
      <c r="A449" s="243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308"/>
      <c r="Q449" s="11"/>
      <c r="R449" s="244"/>
    </row>
    <row r="450" spans="1:18" x14ac:dyDescent="0.25">
      <c r="A450" s="243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308"/>
      <c r="Q450" s="11"/>
      <c r="R450" s="244"/>
    </row>
    <row r="451" spans="1:18" x14ac:dyDescent="0.25">
      <c r="A451" s="243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308"/>
      <c r="Q451" s="11"/>
      <c r="R451" s="244"/>
    </row>
    <row r="452" spans="1:18" x14ac:dyDescent="0.25">
      <c r="A452" s="243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308"/>
      <c r="Q452" s="11"/>
      <c r="R452" s="244"/>
    </row>
    <row r="453" spans="1:18" x14ac:dyDescent="0.25">
      <c r="A453" s="243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308"/>
      <c r="Q453" s="11"/>
      <c r="R453" s="244"/>
    </row>
    <row r="454" spans="1:18" x14ac:dyDescent="0.25">
      <c r="A454" s="243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308"/>
      <c r="Q454" s="11"/>
      <c r="R454" s="244"/>
    </row>
    <row r="455" spans="1:18" x14ac:dyDescent="0.25">
      <c r="A455" s="243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308"/>
      <c r="Q455" s="11"/>
      <c r="R455" s="244"/>
    </row>
    <row r="456" spans="1:18" x14ac:dyDescent="0.25">
      <c r="A456" s="243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308"/>
      <c r="Q456" s="11"/>
      <c r="R456" s="244"/>
    </row>
    <row r="457" spans="1:18" x14ac:dyDescent="0.25">
      <c r="A457" s="243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308"/>
      <c r="Q457" s="11"/>
      <c r="R457" s="244"/>
    </row>
    <row r="458" spans="1:18" x14ac:dyDescent="0.25">
      <c r="A458" s="243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308"/>
      <c r="Q458" s="11"/>
      <c r="R458" s="244"/>
    </row>
    <row r="459" spans="1:18" x14ac:dyDescent="0.25">
      <c r="A459" s="243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308"/>
      <c r="Q459" s="11"/>
      <c r="R459" s="244"/>
    </row>
    <row r="460" spans="1:18" x14ac:dyDescent="0.25">
      <c r="A460" s="243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308"/>
      <c r="Q460" s="11"/>
      <c r="R460" s="244"/>
    </row>
    <row r="461" spans="1:18" x14ac:dyDescent="0.25">
      <c r="A461" s="243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308"/>
      <c r="Q461" s="11"/>
      <c r="R461" s="244"/>
    </row>
    <row r="462" spans="1:18" x14ac:dyDescent="0.25">
      <c r="A462" s="243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308"/>
      <c r="Q462" s="11"/>
      <c r="R462" s="244"/>
    </row>
    <row r="463" spans="1:18" x14ac:dyDescent="0.25">
      <c r="A463" s="243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308"/>
      <c r="Q463" s="11"/>
      <c r="R463" s="244"/>
    </row>
    <row r="464" spans="1:18" x14ac:dyDescent="0.25">
      <c r="A464" s="243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308"/>
      <c r="Q464" s="11"/>
      <c r="R464" s="244"/>
    </row>
    <row r="465" spans="1:18" x14ac:dyDescent="0.25">
      <c r="A465" s="243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308"/>
      <c r="Q465" s="11"/>
      <c r="R465" s="244"/>
    </row>
    <row r="466" spans="1:18" x14ac:dyDescent="0.25">
      <c r="A466" s="243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308"/>
      <c r="Q466" s="11"/>
      <c r="R466" s="244"/>
    </row>
    <row r="467" spans="1:18" x14ac:dyDescent="0.25">
      <c r="A467" s="243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308"/>
      <c r="Q467" s="11"/>
      <c r="R467" s="244"/>
    </row>
    <row r="468" spans="1:18" x14ac:dyDescent="0.25">
      <c r="A468" s="243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308"/>
      <c r="Q468" s="11"/>
      <c r="R468" s="244"/>
    </row>
    <row r="469" spans="1:18" x14ac:dyDescent="0.25">
      <c r="A469" s="243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308"/>
      <c r="Q469" s="11"/>
      <c r="R469" s="244"/>
    </row>
    <row r="470" spans="1:18" x14ac:dyDescent="0.25">
      <c r="A470" s="243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308"/>
      <c r="Q470" s="11"/>
      <c r="R470" s="244"/>
    </row>
    <row r="471" spans="1:18" x14ac:dyDescent="0.25">
      <c r="A471" s="243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308"/>
      <c r="Q471" s="11"/>
      <c r="R471" s="244"/>
    </row>
    <row r="472" spans="1:18" x14ac:dyDescent="0.25">
      <c r="A472" s="243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308"/>
      <c r="Q472" s="11"/>
      <c r="R472" s="244"/>
    </row>
    <row r="473" spans="1:18" x14ac:dyDescent="0.25">
      <c r="A473" s="243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308"/>
      <c r="Q473" s="11"/>
      <c r="R473" s="244"/>
    </row>
    <row r="474" spans="1:18" x14ac:dyDescent="0.25">
      <c r="A474" s="243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308"/>
      <c r="Q474" s="11"/>
      <c r="R474" s="244"/>
    </row>
    <row r="475" spans="1:18" x14ac:dyDescent="0.25">
      <c r="A475" s="243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308"/>
      <c r="Q475" s="11"/>
      <c r="R475" s="244"/>
    </row>
    <row r="476" spans="1:18" x14ac:dyDescent="0.25">
      <c r="A476" s="243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308"/>
      <c r="Q476" s="11"/>
      <c r="R476" s="244"/>
    </row>
    <row r="477" spans="1:18" x14ac:dyDescent="0.25">
      <c r="A477" s="243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308"/>
      <c r="Q477" s="11"/>
      <c r="R477" s="244"/>
    </row>
    <row r="478" spans="1:18" x14ac:dyDescent="0.25">
      <c r="A478" s="243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308"/>
      <c r="Q478" s="11"/>
      <c r="R478" s="244"/>
    </row>
    <row r="479" spans="1:18" x14ac:dyDescent="0.25">
      <c r="A479" s="243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308"/>
      <c r="Q479" s="11"/>
      <c r="R479" s="244"/>
    </row>
    <row r="480" spans="1:18" x14ac:dyDescent="0.25">
      <c r="A480" s="243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308"/>
      <c r="Q480" s="11"/>
      <c r="R480" s="244"/>
    </row>
    <row r="481" spans="1:18" x14ac:dyDescent="0.25">
      <c r="A481" s="243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308"/>
      <c r="Q481" s="11"/>
      <c r="R481" s="244"/>
    </row>
    <row r="482" spans="1:18" x14ac:dyDescent="0.25">
      <c r="A482" s="243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308"/>
      <c r="Q482" s="11"/>
      <c r="R482" s="244"/>
    </row>
    <row r="483" spans="1:18" x14ac:dyDescent="0.25">
      <c r="A483" s="243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308"/>
      <c r="Q483" s="11"/>
      <c r="R483" s="244"/>
    </row>
    <row r="484" spans="1:18" x14ac:dyDescent="0.25">
      <c r="A484" s="243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308"/>
      <c r="Q484" s="11"/>
      <c r="R484" s="244"/>
    </row>
    <row r="485" spans="1:18" x14ac:dyDescent="0.25">
      <c r="A485" s="243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308"/>
      <c r="Q485" s="11"/>
      <c r="R485" s="244"/>
    </row>
    <row r="486" spans="1:18" x14ac:dyDescent="0.25">
      <c r="A486" s="243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308"/>
      <c r="Q486" s="11"/>
      <c r="R486" s="244"/>
    </row>
    <row r="487" spans="1:18" x14ac:dyDescent="0.25">
      <c r="A487" s="243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308"/>
      <c r="Q487" s="11"/>
      <c r="R487" s="244"/>
    </row>
    <row r="488" spans="1:18" x14ac:dyDescent="0.25">
      <c r="A488" s="243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308"/>
      <c r="Q488" s="11"/>
      <c r="R488" s="244"/>
    </row>
    <row r="489" spans="1:18" x14ac:dyDescent="0.25">
      <c r="A489" s="243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308"/>
      <c r="Q489" s="11"/>
      <c r="R489" s="244"/>
    </row>
    <row r="490" spans="1:18" x14ac:dyDescent="0.25">
      <c r="A490" s="243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308"/>
      <c r="Q490" s="11"/>
      <c r="R490" s="244"/>
    </row>
    <row r="491" spans="1:18" x14ac:dyDescent="0.25">
      <c r="A491" s="243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308"/>
      <c r="Q491" s="11"/>
      <c r="R491" s="244"/>
    </row>
    <row r="492" spans="1:18" x14ac:dyDescent="0.25">
      <c r="A492" s="243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308"/>
      <c r="Q492" s="11"/>
      <c r="R492" s="244"/>
    </row>
    <row r="493" spans="1:18" x14ac:dyDescent="0.25">
      <c r="A493" s="243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308"/>
      <c r="Q493" s="11"/>
      <c r="R493" s="244"/>
    </row>
    <row r="494" spans="1:18" x14ac:dyDescent="0.25">
      <c r="A494" s="243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308"/>
      <c r="Q494" s="11"/>
      <c r="R494" s="244"/>
    </row>
    <row r="495" spans="1:18" x14ac:dyDescent="0.25">
      <c r="A495" s="243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308"/>
      <c r="Q495" s="11"/>
      <c r="R495" s="244"/>
    </row>
    <row r="496" spans="1:18" x14ac:dyDescent="0.25">
      <c r="A496" s="243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308"/>
      <c r="Q496" s="11"/>
      <c r="R496" s="244"/>
    </row>
    <row r="497" spans="1:18" x14ac:dyDescent="0.25">
      <c r="A497" s="243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308"/>
      <c r="Q497" s="11"/>
      <c r="R497" s="244"/>
    </row>
    <row r="498" spans="1:18" x14ac:dyDescent="0.25">
      <c r="A498" s="243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308"/>
      <c r="Q498" s="11"/>
      <c r="R498" s="244"/>
    </row>
    <row r="499" spans="1:18" x14ac:dyDescent="0.25">
      <c r="A499" s="243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308"/>
      <c r="Q499" s="11"/>
      <c r="R499" s="244"/>
    </row>
    <row r="500" spans="1:18" x14ac:dyDescent="0.25">
      <c r="A500" s="243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308"/>
      <c r="Q500" s="11"/>
      <c r="R500" s="244"/>
    </row>
    <row r="501" spans="1:18" x14ac:dyDescent="0.25">
      <c r="A501" s="243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308"/>
      <c r="Q501" s="11"/>
      <c r="R501" s="244"/>
    </row>
    <row r="502" spans="1:18" x14ac:dyDescent="0.25">
      <c r="A502" s="243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308"/>
      <c r="Q502" s="11"/>
      <c r="R502" s="244"/>
    </row>
    <row r="503" spans="1:18" x14ac:dyDescent="0.25">
      <c r="A503" s="243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308"/>
      <c r="Q503" s="11"/>
      <c r="R503" s="244"/>
    </row>
    <row r="504" spans="1:18" x14ac:dyDescent="0.25">
      <c r="A504" s="243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308"/>
      <c r="Q504" s="11"/>
      <c r="R504" s="244"/>
    </row>
    <row r="505" spans="1:18" x14ac:dyDescent="0.25">
      <c r="A505" s="243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308"/>
      <c r="Q505" s="11"/>
      <c r="R505" s="244"/>
    </row>
    <row r="506" spans="1:18" x14ac:dyDescent="0.25">
      <c r="A506" s="243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308"/>
      <c r="Q506" s="11"/>
      <c r="R506" s="244"/>
    </row>
    <row r="507" spans="1:18" x14ac:dyDescent="0.25">
      <c r="A507" s="243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308"/>
      <c r="Q507" s="11"/>
      <c r="R507" s="244"/>
    </row>
    <row r="508" spans="1:18" x14ac:dyDescent="0.25">
      <c r="A508" s="243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308"/>
      <c r="Q508" s="11"/>
      <c r="R508" s="244"/>
    </row>
    <row r="509" spans="1:18" x14ac:dyDescent="0.25">
      <c r="A509" s="243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308"/>
      <c r="Q509" s="11"/>
      <c r="R509" s="244"/>
    </row>
    <row r="510" spans="1:18" x14ac:dyDescent="0.25">
      <c r="A510" s="243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308"/>
      <c r="Q510" s="11"/>
      <c r="R510" s="244"/>
    </row>
    <row r="511" spans="1:18" x14ac:dyDescent="0.25">
      <c r="A511" s="243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308"/>
      <c r="Q511" s="11"/>
      <c r="R511" s="244"/>
    </row>
    <row r="512" spans="1:18" x14ac:dyDescent="0.25">
      <c r="A512" s="243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308"/>
      <c r="Q512" s="11"/>
      <c r="R512" s="244"/>
    </row>
    <row r="513" spans="1:18" x14ac:dyDescent="0.25">
      <c r="A513" s="243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308"/>
      <c r="Q513" s="11"/>
      <c r="R513" s="244"/>
    </row>
    <row r="514" spans="1:18" x14ac:dyDescent="0.25">
      <c r="A514" s="243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308"/>
      <c r="Q514" s="11"/>
      <c r="R514" s="244"/>
    </row>
    <row r="515" spans="1:18" x14ac:dyDescent="0.25">
      <c r="A515" s="243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308"/>
      <c r="Q515" s="11"/>
      <c r="R515" s="244"/>
    </row>
    <row r="516" spans="1:18" x14ac:dyDescent="0.25">
      <c r="A516" s="243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308"/>
      <c r="Q516" s="11"/>
      <c r="R516" s="244"/>
    </row>
    <row r="517" spans="1:18" x14ac:dyDescent="0.25">
      <c r="A517" s="243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308"/>
      <c r="Q517" s="11"/>
      <c r="R517" s="244"/>
    </row>
    <row r="518" spans="1:18" x14ac:dyDescent="0.25">
      <c r="A518" s="243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308"/>
      <c r="Q518" s="11"/>
      <c r="R518" s="244"/>
    </row>
    <row r="519" spans="1:18" x14ac:dyDescent="0.25">
      <c r="A519" s="243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308"/>
      <c r="Q519" s="11"/>
      <c r="R519" s="244"/>
    </row>
    <row r="520" spans="1:18" x14ac:dyDescent="0.25">
      <c r="A520" s="243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308"/>
      <c r="Q520" s="11"/>
      <c r="R520" s="244"/>
    </row>
    <row r="521" spans="1:18" x14ac:dyDescent="0.25">
      <c r="A521" s="243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308"/>
      <c r="Q521" s="11"/>
      <c r="R521" s="244"/>
    </row>
    <row r="522" spans="1:18" x14ac:dyDescent="0.25">
      <c r="A522" s="243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308"/>
      <c r="Q522" s="11"/>
      <c r="R522" s="244"/>
    </row>
    <row r="523" spans="1:18" x14ac:dyDescent="0.25">
      <c r="A523" s="243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308"/>
      <c r="Q523" s="11"/>
      <c r="R523" s="244"/>
    </row>
    <row r="524" spans="1:18" x14ac:dyDescent="0.25">
      <c r="A524" s="243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308"/>
      <c r="Q524" s="11"/>
      <c r="R524" s="244"/>
    </row>
    <row r="525" spans="1:18" x14ac:dyDescent="0.25">
      <c r="A525" s="243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308"/>
      <c r="Q525" s="11"/>
      <c r="R525" s="244"/>
    </row>
    <row r="526" spans="1:18" x14ac:dyDescent="0.25">
      <c r="A526" s="243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308"/>
      <c r="Q526" s="11"/>
      <c r="R526" s="244"/>
    </row>
    <row r="527" spans="1:18" x14ac:dyDescent="0.25">
      <c r="A527" s="243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308"/>
      <c r="Q527" s="11"/>
      <c r="R527" s="244"/>
    </row>
    <row r="528" spans="1:18" x14ac:dyDescent="0.25">
      <c r="A528" s="243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308"/>
      <c r="Q528" s="11"/>
      <c r="R528" s="244"/>
    </row>
    <row r="529" spans="1:18" x14ac:dyDescent="0.25">
      <c r="A529" s="243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308"/>
      <c r="Q529" s="11"/>
      <c r="R529" s="244"/>
    </row>
    <row r="530" spans="1:18" x14ac:dyDescent="0.25">
      <c r="A530" s="243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308"/>
      <c r="Q530" s="11"/>
      <c r="R530" s="244"/>
    </row>
    <row r="531" spans="1:18" x14ac:dyDescent="0.25">
      <c r="A531" s="243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308"/>
      <c r="Q531" s="11"/>
      <c r="R531" s="244"/>
    </row>
    <row r="532" spans="1:18" x14ac:dyDescent="0.25">
      <c r="A532" s="243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308"/>
      <c r="Q532" s="11"/>
      <c r="R532" s="244"/>
    </row>
    <row r="533" spans="1:18" x14ac:dyDescent="0.25">
      <c r="A533" s="243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308"/>
      <c r="Q533" s="11"/>
      <c r="R533" s="244"/>
    </row>
    <row r="534" spans="1:18" x14ac:dyDescent="0.25">
      <c r="A534" s="243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308"/>
      <c r="Q534" s="11"/>
      <c r="R534" s="244"/>
    </row>
    <row r="535" spans="1:18" x14ac:dyDescent="0.25">
      <c r="A535" s="243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308"/>
      <c r="Q535" s="11"/>
      <c r="R535" s="244"/>
    </row>
    <row r="536" spans="1:18" x14ac:dyDescent="0.25">
      <c r="A536" s="243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308"/>
      <c r="Q536" s="11"/>
      <c r="R536" s="244"/>
    </row>
    <row r="537" spans="1:18" x14ac:dyDescent="0.25">
      <c r="A537" s="243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308"/>
      <c r="Q537" s="11"/>
      <c r="R537" s="244"/>
    </row>
    <row r="538" spans="1:18" x14ac:dyDescent="0.25">
      <c r="A538" s="243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308"/>
      <c r="Q538" s="11"/>
      <c r="R538" s="244"/>
    </row>
    <row r="539" spans="1:18" x14ac:dyDescent="0.25">
      <c r="A539" s="243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308"/>
      <c r="Q539" s="11"/>
      <c r="R539" s="244"/>
    </row>
    <row r="540" spans="1:18" x14ac:dyDescent="0.25">
      <c r="A540" s="243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308"/>
      <c r="Q540" s="11"/>
      <c r="R540" s="244"/>
    </row>
    <row r="541" spans="1:18" x14ac:dyDescent="0.25">
      <c r="A541" s="243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308"/>
      <c r="Q541" s="11"/>
      <c r="R541" s="244"/>
    </row>
    <row r="542" spans="1:18" x14ac:dyDescent="0.25">
      <c r="A542" s="243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308"/>
      <c r="Q542" s="11"/>
      <c r="R542" s="244"/>
    </row>
    <row r="543" spans="1:18" x14ac:dyDescent="0.25">
      <c r="A543" s="243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308"/>
      <c r="Q543" s="11"/>
      <c r="R543" s="244"/>
    </row>
    <row r="544" spans="1:18" x14ac:dyDescent="0.25">
      <c r="A544" s="243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308"/>
      <c r="Q544" s="11"/>
      <c r="R544" s="244"/>
    </row>
    <row r="545" spans="1:18" x14ac:dyDescent="0.25">
      <c r="A545" s="243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308"/>
      <c r="Q545" s="11"/>
      <c r="R545" s="244"/>
    </row>
    <row r="546" spans="1:18" x14ac:dyDescent="0.25">
      <c r="A546" s="243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308"/>
      <c r="Q546" s="11"/>
      <c r="R546" s="244"/>
    </row>
    <row r="547" spans="1:18" x14ac:dyDescent="0.25">
      <c r="A547" s="243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308"/>
      <c r="Q547" s="11"/>
      <c r="R547" s="244"/>
    </row>
    <row r="548" spans="1:18" x14ac:dyDescent="0.25">
      <c r="A548" s="243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308"/>
      <c r="Q548" s="11"/>
      <c r="R548" s="244"/>
    </row>
    <row r="549" spans="1:18" x14ac:dyDescent="0.25">
      <c r="A549" s="243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308"/>
      <c r="Q549" s="11"/>
      <c r="R549" s="244"/>
    </row>
    <row r="550" spans="1:18" x14ac:dyDescent="0.25">
      <c r="A550" s="243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308"/>
      <c r="Q550" s="11"/>
      <c r="R550" s="244"/>
    </row>
    <row r="551" spans="1:18" x14ac:dyDescent="0.25">
      <c r="A551" s="243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308"/>
      <c r="Q551" s="11"/>
      <c r="R551" s="244"/>
    </row>
    <row r="552" spans="1:18" x14ac:dyDescent="0.25">
      <c r="A552" s="243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308"/>
      <c r="Q552" s="11"/>
      <c r="R552" s="244"/>
    </row>
    <row r="553" spans="1:18" x14ac:dyDescent="0.25">
      <c r="A553" s="243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308"/>
      <c r="Q553" s="11"/>
      <c r="R553" s="244"/>
    </row>
    <row r="554" spans="1:18" x14ac:dyDescent="0.25">
      <c r="A554" s="243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308"/>
      <c r="Q554" s="11"/>
      <c r="R554" s="244"/>
    </row>
    <row r="555" spans="1:18" x14ac:dyDescent="0.25">
      <c r="A555" s="243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308"/>
      <c r="Q555" s="11"/>
      <c r="R555" s="244"/>
    </row>
    <row r="556" spans="1:18" x14ac:dyDescent="0.25">
      <c r="A556" s="243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308"/>
      <c r="Q556" s="11"/>
      <c r="R556" s="244"/>
    </row>
    <row r="557" spans="1:18" x14ac:dyDescent="0.25">
      <c r="A557" s="243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308"/>
      <c r="Q557" s="11"/>
      <c r="R557" s="244"/>
    </row>
    <row r="558" spans="1:18" x14ac:dyDescent="0.25">
      <c r="A558" s="243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308"/>
      <c r="Q558" s="11"/>
      <c r="R558" s="244"/>
    </row>
    <row r="559" spans="1:18" x14ac:dyDescent="0.25">
      <c r="A559" s="243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308"/>
      <c r="Q559" s="11"/>
      <c r="R559" s="244"/>
    </row>
    <row r="560" spans="1:18" x14ac:dyDescent="0.25">
      <c r="A560" s="243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308"/>
      <c r="Q560" s="11"/>
      <c r="R560" s="244"/>
    </row>
    <row r="561" spans="1:18" x14ac:dyDescent="0.25">
      <c r="A561" s="243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308"/>
      <c r="Q561" s="11"/>
      <c r="R561" s="244"/>
    </row>
    <row r="562" spans="1:18" x14ac:dyDescent="0.25">
      <c r="A562" s="243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308"/>
      <c r="Q562" s="11"/>
      <c r="R562" s="244"/>
    </row>
    <row r="563" spans="1:18" x14ac:dyDescent="0.25">
      <c r="A563" s="243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308"/>
      <c r="Q563" s="11"/>
      <c r="R563" s="244"/>
    </row>
    <row r="564" spans="1:18" x14ac:dyDescent="0.25">
      <c r="A564" s="243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308"/>
      <c r="Q564" s="11"/>
      <c r="R564" s="244"/>
    </row>
    <row r="565" spans="1:18" x14ac:dyDescent="0.25">
      <c r="A565" s="243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308"/>
      <c r="Q565" s="11"/>
      <c r="R565" s="244"/>
    </row>
    <row r="566" spans="1:18" x14ac:dyDescent="0.25">
      <c r="A566" s="243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308"/>
      <c r="Q566" s="11"/>
      <c r="R566" s="244"/>
    </row>
    <row r="567" spans="1:18" x14ac:dyDescent="0.25">
      <c r="A567" s="243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308"/>
      <c r="Q567" s="11"/>
      <c r="R567" s="244"/>
    </row>
    <row r="568" spans="1:18" x14ac:dyDescent="0.25">
      <c r="A568" s="243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308"/>
      <c r="Q568" s="11"/>
      <c r="R568" s="244"/>
    </row>
    <row r="569" spans="1:18" x14ac:dyDescent="0.25">
      <c r="A569" s="243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308"/>
      <c r="Q569" s="11"/>
      <c r="R569" s="244"/>
    </row>
    <row r="570" spans="1:18" x14ac:dyDescent="0.25">
      <c r="A570" s="243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308"/>
      <c r="Q570" s="11"/>
      <c r="R570" s="244"/>
    </row>
    <row r="571" spans="1:18" x14ac:dyDescent="0.25">
      <c r="A571" s="243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308"/>
      <c r="Q571" s="11"/>
      <c r="R571" s="244"/>
    </row>
    <row r="572" spans="1:18" x14ac:dyDescent="0.25">
      <c r="A572" s="243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308"/>
      <c r="Q572" s="11"/>
      <c r="R572" s="244"/>
    </row>
    <row r="573" spans="1:18" x14ac:dyDescent="0.25">
      <c r="A573" s="243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308"/>
      <c r="Q573" s="11"/>
      <c r="R573" s="244"/>
    </row>
    <row r="574" spans="1:18" x14ac:dyDescent="0.25">
      <c r="A574" s="243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308"/>
      <c r="Q574" s="11"/>
      <c r="R574" s="244"/>
    </row>
    <row r="575" spans="1:18" x14ac:dyDescent="0.25">
      <c r="A575" s="243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308"/>
      <c r="Q575" s="11"/>
      <c r="R575" s="244"/>
    </row>
    <row r="576" spans="1:18" x14ac:dyDescent="0.25">
      <c r="A576" s="243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308"/>
      <c r="Q576" s="11"/>
      <c r="R576" s="244"/>
    </row>
    <row r="577" spans="1:18" x14ac:dyDescent="0.25">
      <c r="A577" s="243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308"/>
      <c r="Q577" s="11"/>
      <c r="R577" s="244"/>
    </row>
    <row r="578" spans="1:18" x14ac:dyDescent="0.25">
      <c r="A578" s="243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308"/>
      <c r="Q578" s="11"/>
      <c r="R578" s="244"/>
    </row>
    <row r="579" spans="1:18" x14ac:dyDescent="0.25">
      <c r="A579" s="243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308"/>
      <c r="Q579" s="11"/>
      <c r="R579" s="244"/>
    </row>
    <row r="580" spans="1:18" x14ac:dyDescent="0.25">
      <c r="A580" s="243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308"/>
      <c r="Q580" s="11"/>
      <c r="R580" s="244"/>
    </row>
    <row r="581" spans="1:18" x14ac:dyDescent="0.25">
      <c r="A581" s="243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308"/>
      <c r="Q581" s="11"/>
      <c r="R581" s="244"/>
    </row>
    <row r="582" spans="1:18" x14ac:dyDescent="0.25">
      <c r="A582" s="243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308"/>
      <c r="Q582" s="11"/>
      <c r="R582" s="244"/>
    </row>
    <row r="583" spans="1:18" x14ac:dyDescent="0.25">
      <c r="A583" s="243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308"/>
      <c r="Q583" s="11"/>
      <c r="R583" s="244"/>
    </row>
    <row r="584" spans="1:18" x14ac:dyDescent="0.25">
      <c r="A584" s="243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308"/>
      <c r="Q584" s="11"/>
      <c r="R584" s="244"/>
    </row>
    <row r="585" spans="1:18" x14ac:dyDescent="0.25">
      <c r="A585" s="243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308"/>
      <c r="Q585" s="11"/>
      <c r="R585" s="244"/>
    </row>
    <row r="586" spans="1:18" x14ac:dyDescent="0.25">
      <c r="A586" s="243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308"/>
      <c r="Q586" s="11"/>
      <c r="R586" s="244"/>
    </row>
    <row r="587" spans="1:18" x14ac:dyDescent="0.25">
      <c r="A587" s="243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308"/>
      <c r="Q587" s="11"/>
      <c r="R587" s="244"/>
    </row>
    <row r="588" spans="1:18" x14ac:dyDescent="0.25">
      <c r="A588" s="243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308"/>
      <c r="Q588" s="11"/>
      <c r="R588" s="244"/>
    </row>
    <row r="589" spans="1:18" x14ac:dyDescent="0.25">
      <c r="A589" s="243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308"/>
      <c r="Q589" s="11"/>
      <c r="R589" s="244"/>
    </row>
    <row r="590" spans="1:18" x14ac:dyDescent="0.25">
      <c r="A590" s="243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308"/>
      <c r="Q590" s="11"/>
      <c r="R590" s="244"/>
    </row>
    <row r="591" spans="1:18" x14ac:dyDescent="0.25">
      <c r="A591" s="243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308"/>
      <c r="Q591" s="11"/>
      <c r="R591" s="244"/>
    </row>
    <row r="592" spans="1:18" x14ac:dyDescent="0.25">
      <c r="A592" s="243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308"/>
      <c r="Q592" s="11"/>
      <c r="R592" s="244"/>
    </row>
    <row r="593" spans="1:18" x14ac:dyDescent="0.25">
      <c r="A593" s="243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308"/>
      <c r="Q593" s="11"/>
      <c r="R593" s="244"/>
    </row>
    <row r="594" spans="1:18" x14ac:dyDescent="0.25">
      <c r="A594" s="243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308"/>
      <c r="Q594" s="11"/>
      <c r="R594" s="244"/>
    </row>
    <row r="595" spans="1:18" x14ac:dyDescent="0.25">
      <c r="A595" s="243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308"/>
      <c r="Q595" s="11"/>
      <c r="R595" s="244"/>
    </row>
    <row r="596" spans="1:18" x14ac:dyDescent="0.25">
      <c r="A596" s="243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308"/>
      <c r="Q596" s="11"/>
      <c r="R596" s="244"/>
    </row>
    <row r="597" spans="1:18" x14ac:dyDescent="0.25">
      <c r="A597" s="243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308"/>
      <c r="Q597" s="11"/>
      <c r="R597" s="244"/>
    </row>
    <row r="598" spans="1:18" x14ac:dyDescent="0.25">
      <c r="A598" s="243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308"/>
      <c r="Q598" s="11"/>
      <c r="R598" s="244"/>
    </row>
    <row r="599" spans="1:18" x14ac:dyDescent="0.25">
      <c r="A599" s="243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308"/>
      <c r="Q599" s="11"/>
      <c r="R599" s="244"/>
    </row>
    <row r="600" spans="1:18" x14ac:dyDescent="0.25">
      <c r="A600" s="243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308"/>
      <c r="Q600" s="11"/>
      <c r="R600" s="244"/>
    </row>
    <row r="601" spans="1:18" x14ac:dyDescent="0.25">
      <c r="A601" s="243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308"/>
      <c r="Q601" s="11"/>
      <c r="R601" s="244"/>
    </row>
    <row r="602" spans="1:18" x14ac:dyDescent="0.25">
      <c r="A602" s="243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308"/>
      <c r="Q602" s="11"/>
      <c r="R602" s="244"/>
    </row>
    <row r="603" spans="1:18" x14ac:dyDescent="0.25">
      <c r="A603" s="243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308"/>
      <c r="Q603" s="11"/>
      <c r="R603" s="244"/>
    </row>
    <row r="604" spans="1:18" x14ac:dyDescent="0.25">
      <c r="A604" s="243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308"/>
      <c r="Q604" s="11"/>
      <c r="R604" s="244"/>
    </row>
    <row r="605" spans="1:18" x14ac:dyDescent="0.25">
      <c r="A605" s="243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308"/>
      <c r="Q605" s="11"/>
      <c r="R605" s="244"/>
    </row>
    <row r="606" spans="1:18" x14ac:dyDescent="0.25">
      <c r="A606" s="243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308"/>
      <c r="Q606" s="11"/>
      <c r="R606" s="244"/>
    </row>
    <row r="607" spans="1:18" x14ac:dyDescent="0.25">
      <c r="A607" s="243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308"/>
      <c r="Q607" s="11"/>
      <c r="R607" s="244"/>
    </row>
    <row r="608" spans="1:18" x14ac:dyDescent="0.25">
      <c r="A608" s="243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308"/>
      <c r="Q608" s="11"/>
      <c r="R608" s="244"/>
    </row>
    <row r="609" spans="1:18" x14ac:dyDescent="0.25">
      <c r="A609" s="243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308"/>
      <c r="Q609" s="11"/>
      <c r="R609" s="244"/>
    </row>
    <row r="610" spans="1:18" x14ac:dyDescent="0.25">
      <c r="A610" s="243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308"/>
      <c r="Q610" s="11"/>
      <c r="R610" s="244"/>
    </row>
    <row r="611" spans="1:18" x14ac:dyDescent="0.25">
      <c r="A611" s="243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308"/>
      <c r="Q611" s="11"/>
      <c r="R611" s="244"/>
    </row>
    <row r="612" spans="1:18" x14ac:dyDescent="0.25">
      <c r="A612" s="243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308"/>
      <c r="Q612" s="11"/>
      <c r="R612" s="244"/>
    </row>
    <row r="613" spans="1:18" x14ac:dyDescent="0.25">
      <c r="A613" s="243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308"/>
      <c r="Q613" s="11"/>
      <c r="R613" s="244"/>
    </row>
    <row r="614" spans="1:18" x14ac:dyDescent="0.25">
      <c r="A614" s="243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308"/>
      <c r="Q614" s="11"/>
      <c r="R614" s="244"/>
    </row>
    <row r="615" spans="1:18" x14ac:dyDescent="0.25">
      <c r="A615" s="243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308"/>
      <c r="Q615" s="11"/>
      <c r="R615" s="244"/>
    </row>
    <row r="616" spans="1:18" x14ac:dyDescent="0.25">
      <c r="A616" s="243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308"/>
      <c r="Q616" s="11"/>
      <c r="R616" s="244"/>
    </row>
    <row r="617" spans="1:18" x14ac:dyDescent="0.25">
      <c r="A617" s="243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308"/>
      <c r="Q617" s="11"/>
      <c r="R617" s="244"/>
    </row>
    <row r="618" spans="1:18" x14ac:dyDescent="0.25">
      <c r="A618" s="243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308"/>
      <c r="Q618" s="11"/>
      <c r="R618" s="244"/>
    </row>
    <row r="619" spans="1:18" x14ac:dyDescent="0.25">
      <c r="A619" s="243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308"/>
      <c r="Q619" s="11"/>
      <c r="R619" s="244"/>
    </row>
    <row r="620" spans="1:18" x14ac:dyDescent="0.25">
      <c r="A620" s="243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308"/>
      <c r="Q620" s="11"/>
      <c r="R620" s="244"/>
    </row>
    <row r="621" spans="1:18" x14ac:dyDescent="0.25">
      <c r="A621" s="243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308"/>
      <c r="Q621" s="11"/>
      <c r="R621" s="244"/>
    </row>
    <row r="622" spans="1:18" x14ac:dyDescent="0.25">
      <c r="A622" s="243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308"/>
      <c r="Q622" s="11"/>
      <c r="R622" s="244"/>
    </row>
    <row r="623" spans="1:18" x14ac:dyDescent="0.25">
      <c r="A623" s="243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308"/>
      <c r="Q623" s="11"/>
      <c r="R623" s="244"/>
    </row>
    <row r="624" spans="1:18" x14ac:dyDescent="0.25">
      <c r="A624" s="243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308"/>
      <c r="Q624" s="11"/>
      <c r="R624" s="244"/>
    </row>
    <row r="625" spans="1:18" x14ac:dyDescent="0.25">
      <c r="A625" s="243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308"/>
      <c r="Q625" s="11"/>
      <c r="R625" s="244"/>
    </row>
    <row r="626" spans="1:18" x14ac:dyDescent="0.25">
      <c r="A626" s="243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308"/>
      <c r="Q626" s="11"/>
      <c r="R626" s="244"/>
    </row>
    <row r="627" spans="1:18" x14ac:dyDescent="0.25">
      <c r="A627" s="243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308"/>
      <c r="Q627" s="11"/>
      <c r="R627" s="244"/>
    </row>
    <row r="628" spans="1:18" x14ac:dyDescent="0.25">
      <c r="A628" s="243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308"/>
      <c r="Q628" s="11"/>
      <c r="R628" s="244"/>
    </row>
    <row r="629" spans="1:18" x14ac:dyDescent="0.25">
      <c r="A629" s="243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308"/>
      <c r="Q629" s="11"/>
      <c r="R629" s="244"/>
    </row>
    <row r="630" spans="1:18" x14ac:dyDescent="0.25">
      <c r="A630" s="243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308"/>
      <c r="Q630" s="11"/>
      <c r="R630" s="244"/>
    </row>
    <row r="631" spans="1:18" x14ac:dyDescent="0.25">
      <c r="A631" s="243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308"/>
      <c r="Q631" s="11"/>
      <c r="R631" s="244"/>
    </row>
    <row r="632" spans="1:18" x14ac:dyDescent="0.25">
      <c r="A632" s="243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308"/>
      <c r="Q632" s="11"/>
      <c r="R632" s="244"/>
    </row>
    <row r="633" spans="1:18" x14ac:dyDescent="0.25">
      <c r="A633" s="243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308"/>
      <c r="Q633" s="11"/>
      <c r="R633" s="244"/>
    </row>
    <row r="634" spans="1:18" x14ac:dyDescent="0.25">
      <c r="A634" s="243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308"/>
      <c r="Q634" s="11"/>
      <c r="R634" s="244"/>
    </row>
    <row r="635" spans="1:18" x14ac:dyDescent="0.25">
      <c r="A635" s="243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308"/>
      <c r="Q635" s="11"/>
      <c r="R635" s="244"/>
    </row>
    <row r="636" spans="1:18" x14ac:dyDescent="0.25">
      <c r="A636" s="243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308"/>
      <c r="Q636" s="11"/>
      <c r="R636" s="244"/>
    </row>
    <row r="637" spans="1:18" x14ac:dyDescent="0.25">
      <c r="A637" s="243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308"/>
      <c r="Q637" s="11"/>
      <c r="R637" s="244"/>
    </row>
    <row r="638" spans="1:18" x14ac:dyDescent="0.25">
      <c r="A638" s="243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308"/>
      <c r="Q638" s="11"/>
      <c r="R638" s="244"/>
    </row>
    <row r="639" spans="1:18" x14ac:dyDescent="0.25">
      <c r="A639" s="243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308"/>
      <c r="Q639" s="11"/>
      <c r="R639" s="244"/>
    </row>
    <row r="640" spans="1:18" x14ac:dyDescent="0.25">
      <c r="A640" s="243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308"/>
      <c r="Q640" s="11"/>
      <c r="R640" s="244"/>
    </row>
    <row r="641" spans="1:18" x14ac:dyDescent="0.25">
      <c r="A641" s="243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308"/>
      <c r="Q641" s="11"/>
      <c r="R641" s="244"/>
    </row>
    <row r="642" spans="1:18" x14ac:dyDescent="0.25">
      <c r="A642" s="243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308"/>
      <c r="Q642" s="11"/>
      <c r="R642" s="244"/>
    </row>
    <row r="643" spans="1:18" x14ac:dyDescent="0.25">
      <c r="A643" s="243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308"/>
      <c r="Q643" s="11"/>
      <c r="R643" s="244"/>
    </row>
    <row r="644" spans="1:18" x14ac:dyDescent="0.25">
      <c r="A644" s="243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308"/>
      <c r="Q644" s="11"/>
      <c r="R644" s="244"/>
    </row>
    <row r="645" spans="1:18" x14ac:dyDescent="0.25">
      <c r="A645" s="243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308"/>
      <c r="Q645" s="11"/>
      <c r="R645" s="244"/>
    </row>
    <row r="646" spans="1:18" x14ac:dyDescent="0.25">
      <c r="A646" s="243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308"/>
      <c r="Q646" s="11"/>
      <c r="R646" s="244"/>
    </row>
    <row r="647" spans="1:18" x14ac:dyDescent="0.25"/>
    <row r="648" spans="1:18" x14ac:dyDescent="0.25"/>
    <row r="649" spans="1:18" x14ac:dyDescent="0.25"/>
    <row r="650" spans="1:18" x14ac:dyDescent="0.25"/>
    <row r="651" spans="1:18" x14ac:dyDescent="0.25"/>
    <row r="652" spans="1:18" x14ac:dyDescent="0.25"/>
    <row r="653" spans="1:18" x14ac:dyDescent="0.25"/>
    <row r="654" spans="1:18" x14ac:dyDescent="0.25"/>
    <row r="655" spans="1:18" x14ac:dyDescent="0.25"/>
    <row r="656" spans="1:18" x14ac:dyDescent="0.25"/>
    <row r="657" x14ac:dyDescent="0.25"/>
    <row r="658" x14ac:dyDescent="0.25"/>
    <row r="659" x14ac:dyDescent="0.25"/>
    <row r="660" x14ac:dyDescent="0.25"/>
    <row r="661" x14ac:dyDescent="0.25"/>
    <row r="662" x14ac:dyDescent="0.25"/>
    <row r="663" x14ac:dyDescent="0.25"/>
    <row r="664" x14ac:dyDescent="0.25"/>
    <row r="665" x14ac:dyDescent="0.25"/>
    <row r="666" x14ac:dyDescent="0.25"/>
    <row r="667" x14ac:dyDescent="0.25"/>
    <row r="668" x14ac:dyDescent="0.25"/>
    <row r="669" x14ac:dyDescent="0.25"/>
    <row r="670" x14ac:dyDescent="0.25"/>
    <row r="671" x14ac:dyDescent="0.25"/>
    <row r="672" x14ac:dyDescent="0.25"/>
    <row r="673" x14ac:dyDescent="0.25"/>
    <row r="674" x14ac:dyDescent="0.25"/>
    <row r="675" x14ac:dyDescent="0.25"/>
    <row r="676" x14ac:dyDescent="0.25"/>
    <row r="677" x14ac:dyDescent="0.25"/>
    <row r="678" x14ac:dyDescent="0.25"/>
    <row r="679" x14ac:dyDescent="0.25"/>
    <row r="680" x14ac:dyDescent="0.25"/>
    <row r="681" x14ac:dyDescent="0.25"/>
    <row r="682" x14ac:dyDescent="0.25"/>
    <row r="683" x14ac:dyDescent="0.25"/>
    <row r="684" x14ac:dyDescent="0.25"/>
    <row r="685" x14ac:dyDescent="0.25"/>
    <row r="686" x14ac:dyDescent="0.25"/>
    <row r="687" x14ac:dyDescent="0.25"/>
    <row r="688" x14ac:dyDescent="0.25"/>
    <row r="689" x14ac:dyDescent="0.25"/>
    <row r="690" x14ac:dyDescent="0.25"/>
    <row r="691" x14ac:dyDescent="0.25"/>
    <row r="692" x14ac:dyDescent="0.25"/>
    <row r="693" x14ac:dyDescent="0.25"/>
    <row r="694" x14ac:dyDescent="0.25"/>
    <row r="695" x14ac:dyDescent="0.25"/>
    <row r="696" x14ac:dyDescent="0.25"/>
    <row r="697" x14ac:dyDescent="0.25"/>
    <row r="698" x14ac:dyDescent="0.25"/>
    <row r="699" x14ac:dyDescent="0.25"/>
    <row r="700" x14ac:dyDescent="0.25"/>
    <row r="701" x14ac:dyDescent="0.25"/>
    <row r="702" x14ac:dyDescent="0.25"/>
    <row r="703" x14ac:dyDescent="0.25"/>
    <row r="704" x14ac:dyDescent="0.25"/>
    <row r="705" x14ac:dyDescent="0.25"/>
    <row r="706" x14ac:dyDescent="0.25"/>
    <row r="707" x14ac:dyDescent="0.25"/>
    <row r="708" x14ac:dyDescent="0.25"/>
    <row r="709" x14ac:dyDescent="0.25"/>
    <row r="710" x14ac:dyDescent="0.25"/>
    <row r="711" x14ac:dyDescent="0.25"/>
    <row r="712" x14ac:dyDescent="0.25"/>
    <row r="713" x14ac:dyDescent="0.25"/>
    <row r="714" x14ac:dyDescent="0.25"/>
    <row r="715" x14ac:dyDescent="0.25"/>
    <row r="716" x14ac:dyDescent="0.25"/>
    <row r="717" x14ac:dyDescent="0.25"/>
    <row r="718" x14ac:dyDescent="0.25"/>
    <row r="719" x14ac:dyDescent="0.25"/>
    <row r="720" x14ac:dyDescent="0.25"/>
    <row r="721" x14ac:dyDescent="0.25"/>
    <row r="722" x14ac:dyDescent="0.25"/>
    <row r="723" x14ac:dyDescent="0.25"/>
    <row r="724" x14ac:dyDescent="0.25"/>
    <row r="725" x14ac:dyDescent="0.25"/>
    <row r="726" x14ac:dyDescent="0.25"/>
    <row r="727" x14ac:dyDescent="0.25"/>
    <row r="728" x14ac:dyDescent="0.25"/>
    <row r="729" x14ac:dyDescent="0.25"/>
    <row r="730" x14ac:dyDescent="0.25"/>
    <row r="731" x14ac:dyDescent="0.25"/>
    <row r="732" x14ac:dyDescent="0.25"/>
    <row r="733" x14ac:dyDescent="0.25"/>
    <row r="734" x14ac:dyDescent="0.25"/>
    <row r="735" x14ac:dyDescent="0.25"/>
    <row r="736" x14ac:dyDescent="0.25"/>
    <row r="737" x14ac:dyDescent="0.25"/>
    <row r="738" x14ac:dyDescent="0.25"/>
    <row r="739" x14ac:dyDescent="0.25"/>
    <row r="740" x14ac:dyDescent="0.25"/>
    <row r="741" x14ac:dyDescent="0.25"/>
    <row r="742" x14ac:dyDescent="0.25"/>
    <row r="743" x14ac:dyDescent="0.25"/>
    <row r="744" x14ac:dyDescent="0.25"/>
    <row r="745" x14ac:dyDescent="0.25"/>
    <row r="746" x14ac:dyDescent="0.25"/>
    <row r="747" x14ac:dyDescent="0.25"/>
    <row r="748" x14ac:dyDescent="0.25"/>
    <row r="749" x14ac:dyDescent="0.25"/>
    <row r="750" x14ac:dyDescent="0.25"/>
    <row r="751" x14ac:dyDescent="0.25"/>
    <row r="752" x14ac:dyDescent="0.25"/>
    <row r="753" x14ac:dyDescent="0.25"/>
    <row r="754" x14ac:dyDescent="0.25"/>
    <row r="755" x14ac:dyDescent="0.25"/>
    <row r="756" x14ac:dyDescent="0.25"/>
    <row r="757" x14ac:dyDescent="0.25"/>
    <row r="758" x14ac:dyDescent="0.25"/>
    <row r="759" x14ac:dyDescent="0.25"/>
    <row r="760" x14ac:dyDescent="0.25"/>
    <row r="761" x14ac:dyDescent="0.25"/>
    <row r="762" x14ac:dyDescent="0.25"/>
    <row r="763" x14ac:dyDescent="0.25"/>
    <row r="764" x14ac:dyDescent="0.25"/>
    <row r="765" x14ac:dyDescent="0.25"/>
    <row r="766" x14ac:dyDescent="0.25"/>
    <row r="767" x14ac:dyDescent="0.25"/>
    <row r="768" x14ac:dyDescent="0.25"/>
    <row r="769" x14ac:dyDescent="0.25"/>
    <row r="770" x14ac:dyDescent="0.25"/>
    <row r="771" x14ac:dyDescent="0.25"/>
    <row r="772" x14ac:dyDescent="0.25"/>
    <row r="773" x14ac:dyDescent="0.25"/>
    <row r="774" x14ac:dyDescent="0.25"/>
    <row r="775" x14ac:dyDescent="0.25"/>
    <row r="776" x14ac:dyDescent="0.25"/>
    <row r="777" x14ac:dyDescent="0.25"/>
    <row r="778" x14ac:dyDescent="0.25"/>
    <row r="779" x14ac:dyDescent="0.25"/>
    <row r="780" x14ac:dyDescent="0.25"/>
    <row r="781" x14ac:dyDescent="0.25"/>
    <row r="782" x14ac:dyDescent="0.25"/>
    <row r="783" x14ac:dyDescent="0.25"/>
    <row r="784" x14ac:dyDescent="0.25"/>
    <row r="785" x14ac:dyDescent="0.25"/>
    <row r="786" x14ac:dyDescent="0.25"/>
    <row r="787" x14ac:dyDescent="0.25"/>
    <row r="788" x14ac:dyDescent="0.25"/>
    <row r="789" x14ac:dyDescent="0.25"/>
    <row r="790" x14ac:dyDescent="0.25"/>
    <row r="791" x14ac:dyDescent="0.25"/>
    <row r="792" x14ac:dyDescent="0.25"/>
    <row r="793" x14ac:dyDescent="0.25"/>
    <row r="794" x14ac:dyDescent="0.25"/>
    <row r="795" x14ac:dyDescent="0.25"/>
    <row r="796" x14ac:dyDescent="0.25"/>
    <row r="797" x14ac:dyDescent="0.25"/>
    <row r="798" x14ac:dyDescent="0.25"/>
    <row r="799" x14ac:dyDescent="0.25"/>
    <row r="800" x14ac:dyDescent="0.25"/>
    <row r="801" x14ac:dyDescent="0.25"/>
    <row r="802" x14ac:dyDescent="0.25"/>
    <row r="803" x14ac:dyDescent="0.25"/>
    <row r="804" x14ac:dyDescent="0.25"/>
    <row r="805" x14ac:dyDescent="0.25"/>
    <row r="806" x14ac:dyDescent="0.25"/>
    <row r="807" x14ac:dyDescent="0.25"/>
    <row r="808" x14ac:dyDescent="0.25"/>
    <row r="809" x14ac:dyDescent="0.25"/>
    <row r="810" x14ac:dyDescent="0.25"/>
    <row r="811" x14ac:dyDescent="0.25"/>
    <row r="812" x14ac:dyDescent="0.25"/>
    <row r="813" x14ac:dyDescent="0.25"/>
    <row r="814" x14ac:dyDescent="0.25"/>
    <row r="815" x14ac:dyDescent="0.25"/>
    <row r="816" x14ac:dyDescent="0.25"/>
    <row r="817" x14ac:dyDescent="0.25"/>
    <row r="818" x14ac:dyDescent="0.25"/>
    <row r="819" x14ac:dyDescent="0.25"/>
    <row r="820" x14ac:dyDescent="0.25"/>
    <row r="821" x14ac:dyDescent="0.25"/>
    <row r="822" x14ac:dyDescent="0.25"/>
    <row r="823" x14ac:dyDescent="0.25"/>
    <row r="824" x14ac:dyDescent="0.25"/>
    <row r="825" x14ac:dyDescent="0.25"/>
    <row r="826" x14ac:dyDescent="0.25"/>
    <row r="827" x14ac:dyDescent="0.25"/>
    <row r="828" x14ac:dyDescent="0.25"/>
    <row r="829" x14ac:dyDescent="0.25"/>
    <row r="830" x14ac:dyDescent="0.25"/>
    <row r="831" x14ac:dyDescent="0.25"/>
    <row r="832" x14ac:dyDescent="0.25"/>
    <row r="833" x14ac:dyDescent="0.25"/>
    <row r="834" x14ac:dyDescent="0.25"/>
    <row r="835" x14ac:dyDescent="0.25"/>
    <row r="836" x14ac:dyDescent="0.25"/>
    <row r="837" x14ac:dyDescent="0.25"/>
    <row r="838" x14ac:dyDescent="0.25"/>
    <row r="839" x14ac:dyDescent="0.25"/>
    <row r="840" x14ac:dyDescent="0.25"/>
    <row r="841" x14ac:dyDescent="0.25"/>
    <row r="842" x14ac:dyDescent="0.25"/>
    <row r="843" x14ac:dyDescent="0.25"/>
    <row r="844" x14ac:dyDescent="0.25"/>
    <row r="845" x14ac:dyDescent="0.25"/>
    <row r="846" x14ac:dyDescent="0.25"/>
    <row r="847" x14ac:dyDescent="0.25"/>
    <row r="848" x14ac:dyDescent="0.25"/>
    <row r="849" x14ac:dyDescent="0.25"/>
    <row r="850" x14ac:dyDescent="0.25"/>
    <row r="851" x14ac:dyDescent="0.25"/>
    <row r="852" x14ac:dyDescent="0.25"/>
    <row r="853" x14ac:dyDescent="0.25"/>
    <row r="854" x14ac:dyDescent="0.25"/>
    <row r="855" x14ac:dyDescent="0.25"/>
    <row r="856" x14ac:dyDescent="0.25"/>
    <row r="857" x14ac:dyDescent="0.25"/>
    <row r="858" x14ac:dyDescent="0.25"/>
    <row r="859" x14ac:dyDescent="0.25"/>
    <row r="860" x14ac:dyDescent="0.25"/>
    <row r="861" x14ac:dyDescent="0.25"/>
    <row r="862" x14ac:dyDescent="0.25"/>
    <row r="863" x14ac:dyDescent="0.25"/>
    <row r="864" x14ac:dyDescent="0.25"/>
    <row r="865" x14ac:dyDescent="0.25"/>
    <row r="866" x14ac:dyDescent="0.25"/>
    <row r="867" x14ac:dyDescent="0.25"/>
    <row r="868" x14ac:dyDescent="0.25"/>
    <row r="869" x14ac:dyDescent="0.25"/>
    <row r="870" x14ac:dyDescent="0.25"/>
    <row r="871" x14ac:dyDescent="0.25"/>
    <row r="872" x14ac:dyDescent="0.25"/>
    <row r="873" x14ac:dyDescent="0.25"/>
    <row r="874" x14ac:dyDescent="0.25"/>
    <row r="875" x14ac:dyDescent="0.25"/>
    <row r="876" x14ac:dyDescent="0.25"/>
    <row r="877" x14ac:dyDescent="0.25"/>
    <row r="878" x14ac:dyDescent="0.25"/>
    <row r="879" x14ac:dyDescent="0.25"/>
    <row r="880" x14ac:dyDescent="0.25"/>
    <row r="881" x14ac:dyDescent="0.25"/>
    <row r="882" x14ac:dyDescent="0.25"/>
    <row r="883" x14ac:dyDescent="0.25"/>
    <row r="884" x14ac:dyDescent="0.25"/>
    <row r="885" x14ac:dyDescent="0.25"/>
    <row r="886" x14ac:dyDescent="0.25"/>
    <row r="887" x14ac:dyDescent="0.25"/>
    <row r="888" x14ac:dyDescent="0.25"/>
    <row r="889" x14ac:dyDescent="0.25"/>
    <row r="890" x14ac:dyDescent="0.25"/>
    <row r="891" x14ac:dyDescent="0.25"/>
    <row r="892" x14ac:dyDescent="0.25"/>
    <row r="893" x14ac:dyDescent="0.25"/>
    <row r="894" x14ac:dyDescent="0.25"/>
    <row r="895" x14ac:dyDescent="0.25"/>
    <row r="896" x14ac:dyDescent="0.25"/>
    <row r="897" x14ac:dyDescent="0.25"/>
    <row r="898" x14ac:dyDescent="0.25"/>
    <row r="899" x14ac:dyDescent="0.25"/>
    <row r="900" x14ac:dyDescent="0.25"/>
    <row r="901" x14ac:dyDescent="0.25"/>
    <row r="902" x14ac:dyDescent="0.25"/>
    <row r="903" x14ac:dyDescent="0.25"/>
    <row r="904" x14ac:dyDescent="0.25"/>
    <row r="905" x14ac:dyDescent="0.25"/>
    <row r="906" x14ac:dyDescent="0.25"/>
    <row r="907" x14ac:dyDescent="0.25"/>
    <row r="908" x14ac:dyDescent="0.25"/>
    <row r="909" x14ac:dyDescent="0.25"/>
    <row r="910" x14ac:dyDescent="0.25"/>
    <row r="911" x14ac:dyDescent="0.25"/>
    <row r="912" x14ac:dyDescent="0.25"/>
    <row r="913" x14ac:dyDescent="0.25"/>
    <row r="914" x14ac:dyDescent="0.25"/>
    <row r="915" x14ac:dyDescent="0.25"/>
    <row r="916" x14ac:dyDescent="0.25"/>
    <row r="917" x14ac:dyDescent="0.25"/>
    <row r="918" x14ac:dyDescent="0.25"/>
    <row r="919" x14ac:dyDescent="0.25"/>
    <row r="920" x14ac:dyDescent="0.25"/>
    <row r="921" x14ac:dyDescent="0.25"/>
    <row r="922" x14ac:dyDescent="0.25"/>
    <row r="923" x14ac:dyDescent="0.25"/>
    <row r="924" x14ac:dyDescent="0.25"/>
    <row r="925" x14ac:dyDescent="0.25"/>
    <row r="926" x14ac:dyDescent="0.25"/>
    <row r="927" x14ac:dyDescent="0.25"/>
    <row r="928" x14ac:dyDescent="0.25"/>
  </sheetData>
  <phoneticPr fontId="4" type="noConversion"/>
  <printOptions headings="1" gridLines="1"/>
  <pageMargins left="0.25" right="0.25" top="0.25" bottom="0.5" header="0.3" footer="0.3"/>
  <pageSetup scale="50" fitToHeight="0" orientation="landscape" r:id="rId1"/>
  <headerFooter>
    <oddFooter>Page &amp;P of &amp;N</oddFooter>
  </headerFooter>
  <rowBreaks count="7" manualBreakCount="7">
    <brk id="39" max="16383" man="1"/>
    <brk id="50" max="16383" man="1"/>
    <brk id="76" max="16383" man="1"/>
    <brk id="111" max="16383" man="1"/>
    <brk id="150" max="16383" man="1"/>
    <brk id="156" max="16383" man="1"/>
    <brk id="210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106"/>
  <sheetViews>
    <sheetView tabSelected="1" topLeftCell="A2" workbookViewId="0">
      <pane ySplit="2055" topLeftCell="A53" activePane="bottomLeft"/>
      <selection activeCell="S2" sqref="S2"/>
      <selection pane="bottomLeft" activeCell="S31" sqref="S31"/>
    </sheetView>
  </sheetViews>
  <sheetFormatPr defaultColWidth="11.42578125" defaultRowHeight="15.75" x14ac:dyDescent="0.25"/>
  <cols>
    <col min="1" max="1" width="48.7109375" style="10" bestFit="1" customWidth="1"/>
    <col min="2" max="2" width="18" hidden="1" customWidth="1"/>
    <col min="3" max="3" width="32.28515625" style="196" hidden="1" customWidth="1"/>
    <col min="4" max="4" width="15.7109375" hidden="1" customWidth="1"/>
    <col min="5" max="5" width="22.42578125" style="196" hidden="1" customWidth="1"/>
    <col min="6" max="6" width="17" hidden="1" customWidth="1"/>
    <col min="7" max="7" width="21.7109375" style="196" hidden="1" customWidth="1"/>
    <col min="8" max="8" width="17.140625" hidden="1" customWidth="1"/>
    <col min="9" max="9" width="16.140625" hidden="1" customWidth="1"/>
    <col min="10" max="10" width="22.140625" style="205" hidden="1" customWidth="1"/>
    <col min="11" max="11" width="3.7109375" style="205" customWidth="1"/>
    <col min="12" max="12" width="17.140625" hidden="1" customWidth="1"/>
    <col min="13" max="13" width="14.85546875" style="265" hidden="1" customWidth="1"/>
    <col min="14" max="14" width="17.140625" style="265" hidden="1" customWidth="1"/>
    <col min="15" max="15" width="17.140625" customWidth="1"/>
    <col min="16" max="16" width="17.140625" bestFit="1" customWidth="1"/>
    <col min="17" max="17" width="17.140625" customWidth="1"/>
    <col min="18" max="18" width="3.7109375" customWidth="1"/>
    <col min="19" max="19" width="17.140625" customWidth="1"/>
    <col min="20" max="20" width="17.140625" hidden="1" customWidth="1"/>
    <col min="21" max="21" width="18.140625" customWidth="1"/>
    <col min="27" max="27" width="12.28515625" bestFit="1" customWidth="1"/>
  </cols>
  <sheetData>
    <row r="1" spans="1:24" ht="50.1" customHeight="1" x14ac:dyDescent="0.25">
      <c r="A1"/>
      <c r="B1" s="1"/>
      <c r="D1" s="1"/>
      <c r="F1" s="1"/>
      <c r="H1" s="1"/>
      <c r="I1" s="1"/>
      <c r="L1" s="1"/>
      <c r="M1" s="266"/>
      <c r="N1" s="266"/>
      <c r="O1" s="1"/>
      <c r="S1" s="1"/>
      <c r="T1" s="1"/>
    </row>
    <row r="2" spans="1:24" ht="72" x14ac:dyDescent="0.25">
      <c r="A2" s="245" t="s">
        <v>432</v>
      </c>
      <c r="B2" s="175" t="s">
        <v>276</v>
      </c>
      <c r="C2" s="160" t="s">
        <v>166</v>
      </c>
      <c r="D2" s="175" t="s">
        <v>223</v>
      </c>
      <c r="E2" s="160" t="s">
        <v>167</v>
      </c>
      <c r="F2" s="161" t="s">
        <v>165</v>
      </c>
      <c r="G2" s="160" t="s">
        <v>168</v>
      </c>
      <c r="H2" s="309" t="s">
        <v>298</v>
      </c>
      <c r="I2" s="175" t="s">
        <v>284</v>
      </c>
      <c r="J2" s="160" t="s">
        <v>234</v>
      </c>
      <c r="K2" s="160"/>
      <c r="L2" s="246" t="s">
        <v>281</v>
      </c>
      <c r="M2" s="270" t="s">
        <v>293</v>
      </c>
      <c r="N2" s="246" t="s">
        <v>302</v>
      </c>
      <c r="O2" s="395" t="s">
        <v>303</v>
      </c>
      <c r="P2" s="394" t="s">
        <v>441</v>
      </c>
      <c r="Q2" s="394" t="s">
        <v>451</v>
      </c>
      <c r="R2" s="431"/>
      <c r="S2" s="246" t="s">
        <v>402</v>
      </c>
      <c r="T2" s="426" t="s">
        <v>452</v>
      </c>
      <c r="U2" s="426" t="s">
        <v>448</v>
      </c>
    </row>
    <row r="3" spans="1:24" ht="9.9499999999999993" customHeight="1" x14ac:dyDescent="0.25">
      <c r="A3" s="156"/>
      <c r="B3" s="13"/>
      <c r="C3" s="197"/>
      <c r="D3" s="159"/>
      <c r="E3" s="197"/>
      <c r="F3" s="13"/>
      <c r="G3" s="197"/>
      <c r="H3" s="13"/>
      <c r="I3" s="13"/>
      <c r="J3" s="206"/>
      <c r="K3" s="206"/>
      <c r="L3" s="222"/>
      <c r="M3" s="266"/>
      <c r="N3" s="266"/>
      <c r="O3" s="13"/>
      <c r="S3" s="13"/>
      <c r="T3" s="13"/>
    </row>
    <row r="4" spans="1:24" ht="21.95" customHeight="1" x14ac:dyDescent="0.25">
      <c r="A4" s="173" t="s">
        <v>1</v>
      </c>
      <c r="B4" s="177"/>
      <c r="C4" s="197"/>
      <c r="D4" s="179"/>
      <c r="E4" s="197"/>
      <c r="F4" s="147"/>
      <c r="G4" s="197"/>
      <c r="H4" s="147"/>
      <c r="I4" s="176"/>
      <c r="J4" s="206"/>
      <c r="K4" s="206"/>
      <c r="L4" s="247"/>
      <c r="O4" s="372"/>
      <c r="P4" s="372"/>
      <c r="Q4" s="372"/>
      <c r="R4" s="13"/>
      <c r="S4" s="247"/>
      <c r="T4" s="247"/>
      <c r="U4" s="247"/>
    </row>
    <row r="5" spans="1:24" ht="15.75" customHeight="1" x14ac:dyDescent="0.25">
      <c r="A5" s="81" t="s">
        <v>180</v>
      </c>
      <c r="B5" s="177">
        <v>429566</v>
      </c>
      <c r="C5" s="197" t="s">
        <v>169</v>
      </c>
      <c r="D5" s="179">
        <v>418194</v>
      </c>
      <c r="E5" s="197" t="s">
        <v>170</v>
      </c>
      <c r="F5" s="154">
        <v>455348</v>
      </c>
      <c r="G5" s="197" t="s">
        <v>209</v>
      </c>
      <c r="H5" s="154">
        <v>396867</v>
      </c>
      <c r="I5" s="183">
        <v>-6308</v>
      </c>
      <c r="J5" s="206" t="s">
        <v>261</v>
      </c>
      <c r="K5" s="206"/>
      <c r="L5" s="392">
        <v>413160</v>
      </c>
      <c r="M5" s="264">
        <f>+L5-H5</f>
        <v>16293</v>
      </c>
      <c r="N5" s="264">
        <v>363258</v>
      </c>
      <c r="O5" s="396">
        <v>422856</v>
      </c>
      <c r="P5" s="396">
        <f>+Sheet1!Q7</f>
        <v>379377</v>
      </c>
      <c r="Q5" s="396">
        <f>+P5-O5</f>
        <v>-43479</v>
      </c>
      <c r="R5" s="432"/>
      <c r="S5" s="427">
        <f>+Sheet1!K7</f>
        <v>437310</v>
      </c>
      <c r="T5" s="428">
        <f>+P5-S5</f>
        <v>-57933</v>
      </c>
      <c r="U5" s="428">
        <f>+S5-O5</f>
        <v>14454</v>
      </c>
    </row>
    <row r="6" spans="1:24" ht="15.75" customHeight="1" x14ac:dyDescent="0.25">
      <c r="A6" s="81" t="s">
        <v>262</v>
      </c>
      <c r="B6" s="177"/>
      <c r="C6" s="197" t="s">
        <v>206</v>
      </c>
      <c r="D6" s="180">
        <v>0</v>
      </c>
      <c r="E6" s="197"/>
      <c r="F6" s="162">
        <v>-35000</v>
      </c>
      <c r="G6" s="197"/>
      <c r="H6" s="154">
        <v>0</v>
      </c>
      <c r="I6" s="183">
        <v>1000</v>
      </c>
      <c r="J6" s="206"/>
      <c r="K6" s="206"/>
      <c r="L6" s="392">
        <v>-32000</v>
      </c>
      <c r="M6" s="264">
        <f t="shared" ref="M6:M10" si="0">+L6-H6</f>
        <v>-32000</v>
      </c>
      <c r="N6" s="264"/>
      <c r="O6" s="396">
        <v>-25000</v>
      </c>
      <c r="P6" s="396">
        <f>+Sheet1!Q8</f>
        <v>0</v>
      </c>
      <c r="Q6" s="396">
        <f t="shared" ref="Q6:Q10" si="1">+P6-O6</f>
        <v>25000</v>
      </c>
      <c r="R6" s="432"/>
      <c r="S6" s="427">
        <f>+Sheet1!K8</f>
        <v>-26000</v>
      </c>
      <c r="T6" s="428">
        <f>+P6-S6</f>
        <v>26000</v>
      </c>
      <c r="U6" s="428">
        <f t="shared" ref="U6:U10" si="2">+S6-O6</f>
        <v>-1000</v>
      </c>
    </row>
    <row r="7" spans="1:24" ht="15.75" customHeight="1" x14ac:dyDescent="0.25">
      <c r="A7" s="81" t="s">
        <v>399</v>
      </c>
      <c r="B7" s="177"/>
      <c r="C7" s="197" t="s">
        <v>206</v>
      </c>
      <c r="D7" s="180">
        <v>0</v>
      </c>
      <c r="E7" s="197"/>
      <c r="F7" s="162">
        <v>-35000</v>
      </c>
      <c r="G7" s="197"/>
      <c r="H7" s="154">
        <v>0</v>
      </c>
      <c r="I7" s="183">
        <v>1000</v>
      </c>
      <c r="J7" s="206"/>
      <c r="K7" s="206"/>
      <c r="L7" s="392"/>
      <c r="M7" s="264">
        <f t="shared" ref="M7" si="3">+L7-H7</f>
        <v>0</v>
      </c>
      <c r="N7" s="264">
        <v>1495</v>
      </c>
      <c r="O7" s="396">
        <v>0</v>
      </c>
      <c r="P7" s="396">
        <f>+Sheet1!Q10</f>
        <v>2140</v>
      </c>
      <c r="Q7" s="396">
        <f t="shared" si="1"/>
        <v>2140</v>
      </c>
      <c r="R7" s="432"/>
      <c r="S7" s="427">
        <f>+Sheet1!K10</f>
        <v>1700</v>
      </c>
      <c r="T7" s="428">
        <f t="shared" ref="T7:T10" si="4">+P7-S7</f>
        <v>440</v>
      </c>
      <c r="U7" s="428">
        <f t="shared" si="2"/>
        <v>1700</v>
      </c>
    </row>
    <row r="8" spans="1:24" ht="15.75" customHeight="1" x14ac:dyDescent="0.25">
      <c r="A8" s="81" t="s">
        <v>3</v>
      </c>
      <c r="B8" s="177">
        <v>189838</v>
      </c>
      <c r="C8" s="197" t="s">
        <v>171</v>
      </c>
      <c r="D8" s="179">
        <v>176201</v>
      </c>
      <c r="E8" s="197"/>
      <c r="F8" s="154">
        <v>164802</v>
      </c>
      <c r="G8" s="197"/>
      <c r="H8" s="154">
        <v>135717</v>
      </c>
      <c r="I8" s="183">
        <v>-14050</v>
      </c>
      <c r="J8" s="206"/>
      <c r="K8" s="206"/>
      <c r="L8" s="392">
        <v>152252</v>
      </c>
      <c r="M8" s="264">
        <f t="shared" si="0"/>
        <v>16535</v>
      </c>
      <c r="N8" s="264">
        <v>113635</v>
      </c>
      <c r="O8" s="397">
        <v>150252</v>
      </c>
      <c r="P8" s="396">
        <f>+Sheet1!Q9</f>
        <v>100462</v>
      </c>
      <c r="Q8" s="396">
        <f t="shared" si="1"/>
        <v>-49790</v>
      </c>
      <c r="R8" s="432"/>
      <c r="S8" s="450">
        <f>+Sheet1!K9</f>
        <v>139285</v>
      </c>
      <c r="T8" s="428">
        <f t="shared" si="4"/>
        <v>-38823</v>
      </c>
      <c r="U8" s="428">
        <f t="shared" si="2"/>
        <v>-10967</v>
      </c>
    </row>
    <row r="9" spans="1:24" ht="15.75" customHeight="1" x14ac:dyDescent="0.25">
      <c r="A9" s="81" t="s">
        <v>181</v>
      </c>
      <c r="B9" s="177">
        <v>535465</v>
      </c>
      <c r="C9" s="197" t="s">
        <v>172</v>
      </c>
      <c r="D9" s="179">
        <v>558315</v>
      </c>
      <c r="E9" s="197"/>
      <c r="F9" s="154">
        <v>588111</v>
      </c>
      <c r="G9" s="197"/>
      <c r="H9" s="154">
        <f>550243+24727</f>
        <v>574970</v>
      </c>
      <c r="I9" s="183">
        <v>59395</v>
      </c>
      <c r="J9" s="206" t="s">
        <v>208</v>
      </c>
      <c r="K9" s="206"/>
      <c r="L9" s="392">
        <f>609056+30353-1</f>
        <v>639408</v>
      </c>
      <c r="M9" s="264">
        <f t="shared" si="0"/>
        <v>64438</v>
      </c>
      <c r="N9" s="264">
        <f>538948+28590</f>
        <v>567538</v>
      </c>
      <c r="O9" s="398">
        <f>599989+31232</f>
        <v>631221</v>
      </c>
      <c r="P9" s="396">
        <f>+Sheet1!Q15+Sheet1!Q17</f>
        <v>559693</v>
      </c>
      <c r="Q9" s="396">
        <f t="shared" si="1"/>
        <v>-71528</v>
      </c>
      <c r="R9" s="432"/>
      <c r="S9" s="250">
        <f>+Sheet1!K15+Sheet1!K17</f>
        <v>637740.26</v>
      </c>
      <c r="T9" s="428">
        <f t="shared" si="4"/>
        <v>-78047.260000000009</v>
      </c>
      <c r="U9" s="428">
        <f t="shared" si="2"/>
        <v>6519.2600000000093</v>
      </c>
    </row>
    <row r="10" spans="1:24" ht="15.75" customHeight="1" x14ac:dyDescent="0.25">
      <c r="A10" s="26" t="s">
        <v>182</v>
      </c>
      <c r="B10" s="178">
        <v>46403</v>
      </c>
      <c r="C10" s="202"/>
      <c r="D10" s="181">
        <v>39127</v>
      </c>
      <c r="E10" s="202"/>
      <c r="F10" s="163">
        <v>58274</v>
      </c>
      <c r="G10" s="198"/>
      <c r="H10" s="318">
        <v>39185</v>
      </c>
      <c r="I10" s="185">
        <v>-4815</v>
      </c>
      <c r="J10" s="207"/>
      <c r="K10" s="207"/>
      <c r="L10" s="392">
        <v>53459</v>
      </c>
      <c r="M10" s="264">
        <f t="shared" si="0"/>
        <v>14274</v>
      </c>
      <c r="N10" s="264">
        <v>19661</v>
      </c>
      <c r="O10" s="398">
        <v>15205</v>
      </c>
      <c r="P10" s="396">
        <f>+Sheet1!Q16</f>
        <v>16635</v>
      </c>
      <c r="Q10" s="396">
        <f t="shared" si="1"/>
        <v>1430</v>
      </c>
      <c r="R10" s="432"/>
      <c r="S10" s="250">
        <f>+Sheet1!K16</f>
        <v>15205</v>
      </c>
      <c r="T10" s="428">
        <f t="shared" si="4"/>
        <v>1430</v>
      </c>
      <c r="U10" s="428">
        <f t="shared" si="2"/>
        <v>0</v>
      </c>
      <c r="X10" s="378" t="s">
        <v>391</v>
      </c>
    </row>
    <row r="11" spans="1:24" ht="15.75" customHeight="1" x14ac:dyDescent="0.25">
      <c r="A11" s="81"/>
      <c r="B11" s="177"/>
      <c r="C11" s="197"/>
      <c r="D11" s="179"/>
      <c r="E11" s="197"/>
      <c r="F11" s="147"/>
      <c r="G11" s="197"/>
      <c r="H11" s="147"/>
      <c r="I11" s="183"/>
      <c r="J11" s="206"/>
      <c r="K11" s="206"/>
      <c r="L11" s="251"/>
      <c r="O11" s="372"/>
      <c r="P11" s="372"/>
      <c r="Q11" s="372"/>
      <c r="R11" s="13"/>
      <c r="S11" s="247"/>
      <c r="T11" s="247"/>
      <c r="U11" s="247"/>
    </row>
    <row r="12" spans="1:24" ht="23.1" customHeight="1" x14ac:dyDescent="0.25">
      <c r="A12" s="412" t="s">
        <v>183</v>
      </c>
      <c r="B12" s="401">
        <v>1205225</v>
      </c>
      <c r="C12" s="402"/>
      <c r="D12" s="401">
        <v>1191837</v>
      </c>
      <c r="E12" s="402"/>
      <c r="F12" s="401">
        <v>1231535</v>
      </c>
      <c r="G12" s="402"/>
      <c r="H12" s="393">
        <f>SUM(H5:H11)</f>
        <v>1146739</v>
      </c>
      <c r="I12" s="174">
        <v>35222</v>
      </c>
      <c r="J12" s="208"/>
      <c r="K12" s="208"/>
      <c r="L12" s="254">
        <f t="shared" ref="L12:Q12" si="5">SUM(L5:L11)</f>
        <v>1226279</v>
      </c>
      <c r="M12" s="254">
        <f t="shared" si="5"/>
        <v>79540</v>
      </c>
      <c r="N12" s="254">
        <f t="shared" si="5"/>
        <v>1065587</v>
      </c>
      <c r="O12" s="399">
        <f t="shared" si="5"/>
        <v>1194534</v>
      </c>
      <c r="P12" s="399">
        <f t="shared" si="5"/>
        <v>1058307</v>
      </c>
      <c r="Q12" s="399">
        <f t="shared" si="5"/>
        <v>-136227</v>
      </c>
      <c r="R12" s="433"/>
      <c r="S12" s="254">
        <f>SUM(S5:S11)</f>
        <v>1205240.26</v>
      </c>
      <c r="T12" s="254">
        <f>SUM(T5:T11)</f>
        <v>-146933.26</v>
      </c>
      <c r="U12" s="254">
        <f>SUM(U5:U11)</f>
        <v>10706.260000000009</v>
      </c>
      <c r="X12" s="352">
        <f>+S12-P12</f>
        <v>146933.26</v>
      </c>
    </row>
    <row r="13" spans="1:24" ht="9.9499999999999993" customHeight="1" x14ac:dyDescent="0.25">
      <c r="A13" s="412"/>
      <c r="B13" s="174"/>
      <c r="C13" s="199"/>
      <c r="D13" s="174"/>
      <c r="E13" s="199"/>
      <c r="F13" s="174"/>
      <c r="G13" s="199"/>
      <c r="H13" s="393"/>
      <c r="I13" s="174"/>
      <c r="J13" s="208"/>
      <c r="K13" s="208"/>
      <c r="L13" s="254"/>
      <c r="M13" s="254"/>
      <c r="N13" s="254"/>
      <c r="O13" s="372"/>
      <c r="P13" s="372"/>
      <c r="Q13" s="372"/>
      <c r="R13" s="13"/>
      <c r="S13" s="247"/>
      <c r="T13" s="247"/>
      <c r="U13" s="247"/>
    </row>
    <row r="14" spans="1:24" ht="15.95" customHeight="1" x14ac:dyDescent="0.25">
      <c r="A14" s="157" t="s">
        <v>184</v>
      </c>
      <c r="B14" s="177">
        <v>64</v>
      </c>
      <c r="C14" s="197" t="s">
        <v>173</v>
      </c>
      <c r="D14" s="179">
        <v>88</v>
      </c>
      <c r="E14" s="197" t="s">
        <v>174</v>
      </c>
      <c r="F14" s="154">
        <v>0</v>
      </c>
      <c r="G14" s="197"/>
      <c r="H14" s="154">
        <v>17039</v>
      </c>
      <c r="I14" s="183"/>
      <c r="J14" s="206"/>
      <c r="K14" s="206"/>
      <c r="L14" s="251"/>
      <c r="N14" s="265">
        <v>12488</v>
      </c>
      <c r="O14" s="372"/>
      <c r="P14" s="396">
        <f>+Sheet1!Q25</f>
        <v>1209</v>
      </c>
      <c r="Q14" s="396">
        <f t="shared" ref="Q14:Q15" si="6">+O14-P14</f>
        <v>-1209</v>
      </c>
      <c r="R14" s="432"/>
      <c r="S14" s="247"/>
      <c r="T14" s="428">
        <f t="shared" ref="T14:T16" si="7">+S14-P14</f>
        <v>-1209</v>
      </c>
      <c r="U14" s="428">
        <f t="shared" ref="U14:U16" si="8">+S14-O14</f>
        <v>0</v>
      </c>
    </row>
    <row r="15" spans="1:24" ht="15.75" customHeight="1" x14ac:dyDescent="0.25">
      <c r="A15" s="157" t="s">
        <v>394</v>
      </c>
      <c r="B15" s="177"/>
      <c r="C15" s="197"/>
      <c r="D15" s="179"/>
      <c r="E15" s="197"/>
      <c r="F15" s="154"/>
      <c r="G15" s="197"/>
      <c r="H15" s="154">
        <v>0</v>
      </c>
      <c r="I15" s="183"/>
      <c r="J15" s="206"/>
      <c r="K15" s="206"/>
      <c r="L15" s="251">
        <v>0</v>
      </c>
      <c r="N15" s="265">
        <v>0</v>
      </c>
      <c r="O15" s="398">
        <v>20000</v>
      </c>
      <c r="P15" s="396">
        <f>+Sheet1!Q22</f>
        <v>20000</v>
      </c>
      <c r="Q15" s="396">
        <f t="shared" si="6"/>
        <v>0</v>
      </c>
      <c r="R15" s="432"/>
      <c r="S15" s="250">
        <f>+Sheet1!K22</f>
        <v>20000</v>
      </c>
      <c r="T15" s="428">
        <f t="shared" si="7"/>
        <v>0</v>
      </c>
      <c r="U15" s="428">
        <f t="shared" si="8"/>
        <v>0</v>
      </c>
    </row>
    <row r="16" spans="1:24" ht="15.75" customHeight="1" x14ac:dyDescent="0.25">
      <c r="A16" s="157" t="s">
        <v>210</v>
      </c>
      <c r="B16" s="177"/>
      <c r="C16" s="197"/>
      <c r="D16" s="179"/>
      <c r="E16" s="197"/>
      <c r="F16" s="166">
        <v>35000</v>
      </c>
      <c r="G16" s="197"/>
      <c r="H16" s="154">
        <v>618</v>
      </c>
      <c r="I16" s="183">
        <v>-10000</v>
      </c>
      <c r="J16" s="206" t="s">
        <v>247</v>
      </c>
      <c r="K16" s="206"/>
      <c r="L16" s="250">
        <v>25000</v>
      </c>
      <c r="M16" s="264">
        <f t="shared" ref="M16" si="9">+L16-H16</f>
        <v>24382</v>
      </c>
      <c r="N16" s="264">
        <v>10989</v>
      </c>
      <c r="O16" s="398">
        <v>32500</v>
      </c>
      <c r="P16" s="396">
        <f>+Sheet1!Q20</f>
        <v>48745</v>
      </c>
      <c r="Q16" s="396">
        <f>+O16-P16</f>
        <v>-16245</v>
      </c>
      <c r="R16" s="432"/>
      <c r="S16" s="427">
        <f>+Sheet1!K20</f>
        <v>32500</v>
      </c>
      <c r="T16" s="428">
        <f t="shared" si="7"/>
        <v>-16245</v>
      </c>
      <c r="U16" s="428">
        <f t="shared" si="8"/>
        <v>0</v>
      </c>
    </row>
    <row r="17" spans="1:24" ht="23.1" customHeight="1" x14ac:dyDescent="0.3">
      <c r="A17" s="320" t="s">
        <v>185</v>
      </c>
      <c r="B17" s="401">
        <v>1230539</v>
      </c>
      <c r="C17" s="402"/>
      <c r="D17" s="401">
        <v>1192250</v>
      </c>
      <c r="E17" s="402"/>
      <c r="F17" s="401">
        <v>1266535</v>
      </c>
      <c r="G17" s="402"/>
      <c r="H17" s="393">
        <f>SUM(H12:H16)</f>
        <v>1164396</v>
      </c>
      <c r="I17" s="174">
        <v>25222</v>
      </c>
      <c r="J17" s="206"/>
      <c r="K17" s="206"/>
      <c r="L17" s="254">
        <f t="shared" ref="L17:Q17" si="10">SUM(L12:L16)</f>
        <v>1251279</v>
      </c>
      <c r="M17" s="254">
        <f t="shared" si="10"/>
        <v>103922</v>
      </c>
      <c r="N17" s="254">
        <f t="shared" si="10"/>
        <v>1089064</v>
      </c>
      <c r="O17" s="399">
        <f t="shared" si="10"/>
        <v>1247034</v>
      </c>
      <c r="P17" s="399">
        <f t="shared" si="10"/>
        <v>1128261</v>
      </c>
      <c r="Q17" s="399">
        <f t="shared" si="10"/>
        <v>-153681</v>
      </c>
      <c r="R17" s="433"/>
      <c r="S17" s="254">
        <f>SUM(S12:S16)</f>
        <v>1257740.26</v>
      </c>
      <c r="T17" s="254">
        <f>SUM(T12:T16)</f>
        <v>-164387.26</v>
      </c>
      <c r="U17" s="254">
        <f>SUM(U12:U16)</f>
        <v>10706.260000000009</v>
      </c>
      <c r="X17" s="352">
        <f>+O17-S17</f>
        <v>-10706.260000000009</v>
      </c>
    </row>
    <row r="18" spans="1:24" ht="9.9499999999999993" customHeight="1" x14ac:dyDescent="0.3">
      <c r="A18" s="320"/>
      <c r="B18" s="401"/>
      <c r="C18" s="402"/>
      <c r="D18" s="401"/>
      <c r="E18" s="402"/>
      <c r="F18" s="401"/>
      <c r="G18" s="402"/>
      <c r="H18" s="393"/>
      <c r="I18" s="174"/>
      <c r="J18" s="206"/>
      <c r="K18" s="206"/>
      <c r="L18" s="254"/>
      <c r="M18" s="254"/>
      <c r="N18" s="254"/>
      <c r="O18" s="400"/>
      <c r="P18" s="372"/>
      <c r="Q18" s="372"/>
      <c r="R18" s="13"/>
      <c r="S18" s="429"/>
      <c r="T18" s="429"/>
      <c r="U18" s="247"/>
    </row>
    <row r="19" spans="1:24" ht="15.75" customHeight="1" x14ac:dyDescent="0.25">
      <c r="A19" s="165" t="s">
        <v>224</v>
      </c>
      <c r="B19" s="177"/>
      <c r="C19" s="197"/>
      <c r="D19" s="179"/>
      <c r="E19" s="197"/>
      <c r="F19" s="167"/>
      <c r="G19" s="200"/>
      <c r="H19" s="167"/>
      <c r="I19" s="184"/>
      <c r="J19" s="209"/>
      <c r="K19" s="209"/>
      <c r="L19" s="251"/>
      <c r="O19" s="372"/>
      <c r="P19" s="372"/>
      <c r="Q19" s="372"/>
      <c r="R19" s="13"/>
      <c r="S19" s="247"/>
      <c r="T19" s="247"/>
      <c r="U19" s="247"/>
    </row>
    <row r="20" spans="1:24" ht="15.75" customHeight="1" x14ac:dyDescent="0.25">
      <c r="A20" s="81" t="s">
        <v>277</v>
      </c>
      <c r="B20" s="179">
        <v>-3486</v>
      </c>
      <c r="C20" s="203"/>
      <c r="D20" s="179">
        <v>9729</v>
      </c>
      <c r="E20" s="203"/>
      <c r="F20" s="162">
        <v>51847</v>
      </c>
      <c r="G20" s="201" t="s">
        <v>237</v>
      </c>
      <c r="H20" s="162">
        <v>34146</v>
      </c>
      <c r="I20" s="183">
        <v>3315</v>
      </c>
      <c r="J20" s="206"/>
      <c r="K20" s="206"/>
      <c r="L20" s="250">
        <v>86187</v>
      </c>
      <c r="M20" s="264">
        <f t="shared" ref="M20:M24" si="11">+L20-H20</f>
        <v>52041</v>
      </c>
      <c r="N20" s="264">
        <v>0</v>
      </c>
      <c r="O20" s="398">
        <v>0</v>
      </c>
      <c r="P20" s="396">
        <f>+Sheet1!Q33</f>
        <v>-1209</v>
      </c>
      <c r="Q20" s="396">
        <f>+O20-P20</f>
        <v>1209</v>
      </c>
      <c r="R20" s="432"/>
      <c r="S20" s="250">
        <f>+Sheet1!K33</f>
        <v>0</v>
      </c>
      <c r="T20" s="428">
        <f t="shared" ref="T20:T24" si="12">+S20-P20</f>
        <v>1209</v>
      </c>
      <c r="U20" s="428">
        <f t="shared" ref="U20:U24" si="13">+S20-O20</f>
        <v>0</v>
      </c>
    </row>
    <row r="21" spans="1:24" ht="15.75" customHeight="1" x14ac:dyDescent="0.25">
      <c r="A21" s="81" t="s">
        <v>294</v>
      </c>
      <c r="B21" s="179">
        <v>-79058</v>
      </c>
      <c r="C21" s="203" t="s">
        <v>175</v>
      </c>
      <c r="D21" s="179">
        <v>-16829</v>
      </c>
      <c r="E21" s="197"/>
      <c r="F21" s="162">
        <v>17725</v>
      </c>
      <c r="G21" s="201" t="s">
        <v>242</v>
      </c>
      <c r="H21" s="162">
        <v>-110308</v>
      </c>
      <c r="I21" s="183">
        <v>8099</v>
      </c>
      <c r="J21" s="206"/>
      <c r="K21" s="206"/>
      <c r="L21" s="250">
        <v>89262</v>
      </c>
      <c r="M21" s="264">
        <f t="shared" si="11"/>
        <v>199570</v>
      </c>
      <c r="N21" s="264">
        <v>37881</v>
      </c>
      <c r="O21" s="398">
        <f>50294+72609</f>
        <v>122903</v>
      </c>
      <c r="P21" s="396">
        <f>+Sheet1!Q34</f>
        <v>137003</v>
      </c>
      <c r="Q21" s="396">
        <f t="shared" ref="Q21:Q24" si="14">+O21-P21</f>
        <v>-14100</v>
      </c>
      <c r="R21" s="432"/>
      <c r="S21" s="250">
        <f>+Sheet1!K34</f>
        <v>123938</v>
      </c>
      <c r="T21" s="428">
        <f t="shared" si="12"/>
        <v>-13065</v>
      </c>
      <c r="U21" s="428">
        <f t="shared" si="13"/>
        <v>1035</v>
      </c>
    </row>
    <row r="22" spans="1:24" ht="15.75" customHeight="1" x14ac:dyDescent="0.25">
      <c r="A22" s="81" t="s">
        <v>278</v>
      </c>
      <c r="B22" s="179">
        <v>-34059</v>
      </c>
      <c r="C22" s="203" t="s">
        <v>175</v>
      </c>
      <c r="D22" s="179">
        <v>-41985</v>
      </c>
      <c r="E22" s="197"/>
      <c r="F22" s="162">
        <v>0</v>
      </c>
      <c r="G22" s="201" t="s">
        <v>242</v>
      </c>
      <c r="H22" s="162">
        <v>1286</v>
      </c>
      <c r="I22" s="183">
        <v>0</v>
      </c>
      <c r="J22" s="206"/>
      <c r="K22" s="206"/>
      <c r="L22" s="250">
        <v>0</v>
      </c>
      <c r="M22" s="264">
        <f t="shared" si="11"/>
        <v>-1286</v>
      </c>
      <c r="N22" s="264">
        <v>-10436</v>
      </c>
      <c r="O22" s="398">
        <v>0</v>
      </c>
      <c r="P22" s="396">
        <f>+Sheet1!Q32</f>
        <v>-9988</v>
      </c>
      <c r="Q22" s="396">
        <f t="shared" si="14"/>
        <v>9988</v>
      </c>
      <c r="R22" s="432"/>
      <c r="S22" s="250">
        <f>+Sheet1!K32</f>
        <v>0</v>
      </c>
      <c r="T22" s="428">
        <f t="shared" si="12"/>
        <v>9988</v>
      </c>
      <c r="U22" s="428">
        <f t="shared" si="13"/>
        <v>0</v>
      </c>
    </row>
    <row r="23" spans="1:24" ht="15.75" customHeight="1" x14ac:dyDescent="0.25">
      <c r="A23" s="81" t="s">
        <v>450</v>
      </c>
      <c r="B23" s="179">
        <v>-42599</v>
      </c>
      <c r="C23" s="203" t="s">
        <v>175</v>
      </c>
      <c r="D23" s="179">
        <v>0</v>
      </c>
      <c r="E23" s="197"/>
      <c r="F23" s="162">
        <v>10000</v>
      </c>
      <c r="G23" s="201" t="s">
        <v>218</v>
      </c>
      <c r="H23" s="162">
        <v>20473</v>
      </c>
      <c r="I23" s="183">
        <v>0</v>
      </c>
      <c r="J23" s="206"/>
      <c r="K23" s="206"/>
      <c r="L23" s="250">
        <v>15000</v>
      </c>
      <c r="M23" s="264">
        <f t="shared" si="11"/>
        <v>-5473</v>
      </c>
      <c r="N23" s="264">
        <v>4503</v>
      </c>
      <c r="O23" s="398">
        <v>15000</v>
      </c>
      <c r="P23" s="396">
        <f>+Sheet1!Q36</f>
        <v>11262</v>
      </c>
      <c r="Q23" s="396">
        <f t="shared" si="14"/>
        <v>3738</v>
      </c>
      <c r="R23" s="432"/>
      <c r="S23" s="250">
        <f>+Sheet1!K36</f>
        <v>14900</v>
      </c>
      <c r="T23" s="428">
        <f t="shared" si="12"/>
        <v>3638</v>
      </c>
      <c r="U23" s="428">
        <f t="shared" si="13"/>
        <v>-100</v>
      </c>
    </row>
    <row r="24" spans="1:24" ht="15.75" customHeight="1" x14ac:dyDescent="0.25">
      <c r="A24" s="81" t="s">
        <v>186</v>
      </c>
      <c r="B24" s="179">
        <v>-60269</v>
      </c>
      <c r="C24" s="203" t="s">
        <v>175</v>
      </c>
      <c r="D24" s="179">
        <v>-16715</v>
      </c>
      <c r="E24" s="197"/>
      <c r="F24" s="162">
        <v>0</v>
      </c>
      <c r="G24" s="201" t="s">
        <v>242</v>
      </c>
      <c r="H24" s="162">
        <v>-12089</v>
      </c>
      <c r="I24" s="183">
        <v>0</v>
      </c>
      <c r="J24" s="206"/>
      <c r="K24" s="206"/>
      <c r="L24" s="250">
        <f>+Sheet1!K35</f>
        <v>0</v>
      </c>
      <c r="M24" s="264">
        <f t="shared" si="11"/>
        <v>12089</v>
      </c>
      <c r="N24" s="264">
        <v>-5752</v>
      </c>
      <c r="O24" s="398">
        <v>0</v>
      </c>
      <c r="P24" s="396">
        <f>+Sheet1!Q35</f>
        <v>10642</v>
      </c>
      <c r="Q24" s="396">
        <f t="shared" si="14"/>
        <v>-10642</v>
      </c>
      <c r="R24" s="432"/>
      <c r="S24" s="250">
        <f>+Sheet1!K35</f>
        <v>0</v>
      </c>
      <c r="T24" s="428">
        <f t="shared" si="12"/>
        <v>-10642</v>
      </c>
      <c r="U24" s="428">
        <f t="shared" si="13"/>
        <v>0</v>
      </c>
    </row>
    <row r="25" spans="1:24" ht="24.95" customHeight="1" x14ac:dyDescent="0.3">
      <c r="A25" s="323" t="s">
        <v>14</v>
      </c>
      <c r="B25" s="342">
        <v>-219471</v>
      </c>
      <c r="C25" s="343"/>
      <c r="D25" s="344">
        <v>-65800</v>
      </c>
      <c r="E25" s="343"/>
      <c r="F25" s="319">
        <v>79572</v>
      </c>
      <c r="G25" s="343"/>
      <c r="H25" s="410">
        <f>SUM(H20:H24)</f>
        <v>-66492</v>
      </c>
      <c r="I25" s="174">
        <v>11414</v>
      </c>
      <c r="J25" s="206"/>
      <c r="K25" s="206"/>
      <c r="L25" s="254">
        <f t="shared" ref="L25:Q25" si="15">SUM(L20:L24)</f>
        <v>190449</v>
      </c>
      <c r="M25" s="254">
        <f t="shared" si="15"/>
        <v>256941</v>
      </c>
      <c r="N25" s="254">
        <f t="shared" si="15"/>
        <v>26196</v>
      </c>
      <c r="O25" s="399">
        <f t="shared" si="15"/>
        <v>137903</v>
      </c>
      <c r="P25" s="399">
        <f t="shared" si="15"/>
        <v>147710</v>
      </c>
      <c r="Q25" s="399">
        <f t="shared" si="15"/>
        <v>-9807</v>
      </c>
      <c r="R25" s="433"/>
      <c r="S25" s="254">
        <f>SUM(S20:S24)</f>
        <v>138838</v>
      </c>
      <c r="T25" s="254">
        <f>SUM(T20:T24)</f>
        <v>-8872</v>
      </c>
      <c r="U25" s="254">
        <f>SUM(U20:U24)</f>
        <v>935</v>
      </c>
      <c r="X25" s="352">
        <f>+O25-S25</f>
        <v>-935</v>
      </c>
    </row>
    <row r="26" spans="1:24" ht="29.1" customHeight="1" x14ac:dyDescent="0.3">
      <c r="A26" s="403" t="s">
        <v>187</v>
      </c>
      <c r="B26" s="404">
        <v>1011068</v>
      </c>
      <c r="C26" s="405"/>
      <c r="D26" s="404">
        <v>1126450</v>
      </c>
      <c r="E26" s="405"/>
      <c r="F26" s="404">
        <v>1346107</v>
      </c>
      <c r="G26" s="405"/>
      <c r="H26" s="404">
        <f>+H17+H25</f>
        <v>1097904</v>
      </c>
      <c r="I26" s="169">
        <v>36636</v>
      </c>
      <c r="J26" s="206"/>
      <c r="K26" s="206"/>
      <c r="L26" s="279">
        <f t="shared" ref="L26:Q26" si="16">+L25+L17</f>
        <v>1441728</v>
      </c>
      <c r="M26" s="279">
        <f t="shared" si="16"/>
        <v>360863</v>
      </c>
      <c r="N26" s="279">
        <f t="shared" si="16"/>
        <v>1115260</v>
      </c>
      <c r="O26" s="279">
        <f t="shared" si="16"/>
        <v>1384937</v>
      </c>
      <c r="P26" s="279">
        <f t="shared" si="16"/>
        <v>1275971</v>
      </c>
      <c r="Q26" s="279">
        <f t="shared" si="16"/>
        <v>-163488</v>
      </c>
      <c r="R26" s="434"/>
      <c r="S26" s="279">
        <f>+S25+S17</f>
        <v>1396578.26</v>
      </c>
      <c r="T26" s="279">
        <f>+T25+T17</f>
        <v>-173259.26</v>
      </c>
      <c r="U26" s="279">
        <f>+U25+U17</f>
        <v>11641.260000000009</v>
      </c>
      <c r="X26" s="352">
        <f>+O26-S26</f>
        <v>-11641.260000000009</v>
      </c>
    </row>
    <row r="27" spans="1:24" ht="15" customHeight="1" x14ac:dyDescent="0.25">
      <c r="A27" s="171"/>
      <c r="B27" s="172"/>
      <c r="C27" s="202"/>
      <c r="D27" s="172"/>
      <c r="E27" s="202"/>
      <c r="F27" s="172"/>
      <c r="G27" s="202"/>
      <c r="H27" s="172"/>
      <c r="I27" s="172"/>
      <c r="J27" s="206"/>
      <c r="K27" s="206"/>
      <c r="L27" s="255"/>
      <c r="M27" s="266"/>
      <c r="N27" s="266"/>
      <c r="O27" s="13"/>
      <c r="P27" s="13"/>
      <c r="Q27" s="13"/>
      <c r="R27" s="13"/>
      <c r="S27" s="13"/>
      <c r="T27" s="13"/>
      <c r="U27" s="13"/>
    </row>
    <row r="28" spans="1:24" ht="23.1" customHeight="1" x14ac:dyDescent="0.25">
      <c r="A28" s="195" t="s">
        <v>188</v>
      </c>
      <c r="B28" s="186"/>
      <c r="C28" s="204" t="s">
        <v>176</v>
      </c>
      <c r="D28" s="187"/>
      <c r="E28" s="197"/>
      <c r="F28" s="188"/>
      <c r="G28" s="197"/>
      <c r="H28" s="417"/>
      <c r="I28" s="417"/>
      <c r="J28" s="221"/>
      <c r="K28" s="221"/>
      <c r="L28" s="255"/>
      <c r="N28" s="423"/>
      <c r="O28" s="13"/>
      <c r="P28" s="13"/>
      <c r="Q28" s="13"/>
      <c r="R28" s="13"/>
      <c r="S28" s="13"/>
      <c r="T28" s="13"/>
      <c r="U28" s="13"/>
    </row>
    <row r="29" spans="1:24" ht="18" x14ac:dyDescent="0.25">
      <c r="A29" s="210"/>
      <c r="B29" s="186"/>
      <c r="C29" s="197"/>
      <c r="D29" s="187"/>
      <c r="E29" s="197"/>
      <c r="F29" s="188"/>
      <c r="G29" s="197"/>
      <c r="H29" s="417"/>
      <c r="I29" s="417"/>
      <c r="J29" s="221"/>
      <c r="K29" s="221"/>
      <c r="L29" s="255"/>
      <c r="N29" s="423"/>
      <c r="O29" s="13"/>
      <c r="P29" s="13"/>
      <c r="Q29" s="13"/>
      <c r="R29" s="13"/>
      <c r="S29" s="13"/>
      <c r="T29" s="13"/>
      <c r="U29" s="13"/>
    </row>
    <row r="30" spans="1:24" ht="18" x14ac:dyDescent="0.25">
      <c r="A30" s="210" t="s">
        <v>413</v>
      </c>
      <c r="B30" s="186">
        <v>82380</v>
      </c>
      <c r="C30" s="197"/>
      <c r="D30" s="187">
        <v>67540</v>
      </c>
      <c r="E30" s="197"/>
      <c r="F30" s="189">
        <v>90600</v>
      </c>
      <c r="G30" s="197"/>
      <c r="H30" s="190">
        <v>72226</v>
      </c>
      <c r="I30" s="191">
        <v>-4000</v>
      </c>
      <c r="J30" s="206"/>
      <c r="K30" s="206"/>
      <c r="L30" s="250">
        <v>86459</v>
      </c>
      <c r="M30" s="264">
        <f t="shared" ref="M30:M31" si="17">+L30-H30</f>
        <v>14233</v>
      </c>
      <c r="N30" s="264">
        <v>52661</v>
      </c>
      <c r="O30" s="398">
        <v>72198</v>
      </c>
      <c r="P30" s="396">
        <f>+Sheet1!Q50</f>
        <v>52746</v>
      </c>
      <c r="Q30" s="396">
        <f>+O30-P30</f>
        <v>19452</v>
      </c>
      <c r="R30" s="432"/>
      <c r="S30" s="250">
        <f>+Sheet1!K50</f>
        <v>71841</v>
      </c>
      <c r="T30" s="428">
        <f>+P30-S30</f>
        <v>-19095</v>
      </c>
      <c r="U30" s="428">
        <f>+O30-S30</f>
        <v>357</v>
      </c>
    </row>
    <row r="31" spans="1:24" ht="18" x14ac:dyDescent="0.25">
      <c r="A31" s="210" t="s">
        <v>21</v>
      </c>
      <c r="B31" s="186">
        <v>37693</v>
      </c>
      <c r="C31" s="197"/>
      <c r="D31" s="187">
        <v>64853</v>
      </c>
      <c r="E31" s="197"/>
      <c r="F31" s="189">
        <v>92100</v>
      </c>
      <c r="G31" s="197"/>
      <c r="H31" s="192">
        <v>61200</v>
      </c>
      <c r="I31" s="191">
        <v>-11300</v>
      </c>
      <c r="J31" s="206"/>
      <c r="K31" s="206"/>
      <c r="L31" s="250">
        <v>80800</v>
      </c>
      <c r="M31" s="264">
        <f t="shared" si="17"/>
        <v>19600</v>
      </c>
      <c r="N31" s="264">
        <v>56395</v>
      </c>
      <c r="O31" s="398">
        <v>80800</v>
      </c>
      <c r="P31" s="396">
        <f>+Sheet1!Q67</f>
        <v>64702</v>
      </c>
      <c r="Q31" s="396">
        <f t="shared" ref="Q31:Q44" si="18">+O31-P31</f>
        <v>16098</v>
      </c>
      <c r="R31" s="432"/>
      <c r="S31" s="250">
        <f>+Sheet1!K67</f>
        <v>70000</v>
      </c>
      <c r="T31" s="428">
        <f t="shared" ref="T31:T44" si="19">+P31-S31</f>
        <v>-5298</v>
      </c>
      <c r="U31" s="428">
        <f t="shared" ref="U31:U44" si="20">+O31-S31</f>
        <v>10800</v>
      </c>
    </row>
    <row r="32" spans="1:24" ht="18" x14ac:dyDescent="0.25">
      <c r="A32" s="210" t="s">
        <v>153</v>
      </c>
      <c r="B32" s="186">
        <v>30862</v>
      </c>
      <c r="C32" s="197"/>
      <c r="D32" s="187">
        <v>3982</v>
      </c>
      <c r="E32" s="197"/>
      <c r="F32" s="189">
        <v>20171</v>
      </c>
      <c r="G32" s="197"/>
      <c r="H32" s="190">
        <v>7108</v>
      </c>
      <c r="I32" s="191">
        <v>-3000</v>
      </c>
      <c r="J32" s="206"/>
      <c r="K32" s="206"/>
      <c r="L32" s="250">
        <v>17186</v>
      </c>
      <c r="M32" s="264">
        <f t="shared" ref="M32:M44" si="21">+L32-H32</f>
        <v>10078</v>
      </c>
      <c r="N32" s="264">
        <v>1280</v>
      </c>
      <c r="O32" s="398">
        <v>15304</v>
      </c>
      <c r="P32" s="396">
        <f>+Sheet1!Q88</f>
        <v>676</v>
      </c>
      <c r="Q32" s="396">
        <f t="shared" si="18"/>
        <v>14628</v>
      </c>
      <c r="R32" s="432"/>
      <c r="S32" s="250">
        <f>+Sheet1!K88</f>
        <v>13501</v>
      </c>
      <c r="T32" s="428">
        <f t="shared" si="19"/>
        <v>-12825</v>
      </c>
      <c r="U32" s="428">
        <f t="shared" si="20"/>
        <v>1803</v>
      </c>
    </row>
    <row r="33" spans="1:24" ht="18" x14ac:dyDescent="0.25">
      <c r="A33" s="210" t="s">
        <v>154</v>
      </c>
      <c r="B33" s="186">
        <v>3012</v>
      </c>
      <c r="C33" s="197"/>
      <c r="D33" s="187">
        <v>2390</v>
      </c>
      <c r="E33" s="197"/>
      <c r="F33" s="189">
        <v>5410</v>
      </c>
      <c r="G33" s="197"/>
      <c r="H33" s="192">
        <v>1943</v>
      </c>
      <c r="I33" s="191">
        <v>410</v>
      </c>
      <c r="J33" s="206"/>
      <c r="K33" s="206"/>
      <c r="L33" s="250">
        <v>3350</v>
      </c>
      <c r="M33" s="264">
        <f t="shared" si="21"/>
        <v>1407</v>
      </c>
      <c r="N33" s="264">
        <v>1470</v>
      </c>
      <c r="O33" s="398">
        <v>1120</v>
      </c>
      <c r="P33" s="396">
        <f>+Sheet1!Q98</f>
        <v>3065</v>
      </c>
      <c r="Q33" s="396">
        <f t="shared" si="18"/>
        <v>-1945</v>
      </c>
      <c r="R33" s="432"/>
      <c r="S33" s="250">
        <f>+Sheet1!K98</f>
        <v>4300</v>
      </c>
      <c r="T33" s="428">
        <f t="shared" si="19"/>
        <v>-1235</v>
      </c>
      <c r="U33" s="428">
        <f t="shared" si="20"/>
        <v>-3180</v>
      </c>
    </row>
    <row r="34" spans="1:24" ht="18" x14ac:dyDescent="0.25">
      <c r="A34" s="210" t="s">
        <v>44</v>
      </c>
      <c r="B34" s="186">
        <v>3354</v>
      </c>
      <c r="C34" s="197"/>
      <c r="D34" s="187">
        <v>800</v>
      </c>
      <c r="E34" s="197"/>
      <c r="F34" s="193">
        <v>3050</v>
      </c>
      <c r="G34" s="197"/>
      <c r="H34" s="190">
        <v>2800</v>
      </c>
      <c r="I34" s="191">
        <v>0</v>
      </c>
      <c r="J34" s="206"/>
      <c r="K34" s="206"/>
      <c r="L34" s="250">
        <v>3050</v>
      </c>
      <c r="M34" s="264">
        <f t="shared" si="21"/>
        <v>250</v>
      </c>
      <c r="N34" s="264">
        <v>800</v>
      </c>
      <c r="O34" s="398">
        <f>2250+800</f>
        <v>3050</v>
      </c>
      <c r="P34" s="398">
        <f>+Sheet1!Q115+Sheet1!Q117</f>
        <v>1294</v>
      </c>
      <c r="Q34" s="396">
        <f t="shared" si="18"/>
        <v>1756</v>
      </c>
      <c r="R34" s="432"/>
      <c r="S34" s="250">
        <f>+Sheet1!K115+Sheet1!K117</f>
        <v>3050</v>
      </c>
      <c r="T34" s="428">
        <f t="shared" si="19"/>
        <v>-1756</v>
      </c>
      <c r="U34" s="428">
        <f t="shared" si="20"/>
        <v>0</v>
      </c>
    </row>
    <row r="35" spans="1:24" ht="18" customHeight="1" x14ac:dyDescent="0.25">
      <c r="A35" s="164" t="s">
        <v>189</v>
      </c>
      <c r="B35" s="186">
        <v>10660</v>
      </c>
      <c r="C35" s="197"/>
      <c r="D35" s="187">
        <v>0</v>
      </c>
      <c r="E35" s="197"/>
      <c r="F35" s="193">
        <v>10000</v>
      </c>
      <c r="G35" s="197"/>
      <c r="H35" s="190">
        <v>20473</v>
      </c>
      <c r="I35" s="191">
        <v>0</v>
      </c>
      <c r="J35" s="206" t="s">
        <v>248</v>
      </c>
      <c r="K35" s="206"/>
      <c r="L35" s="250">
        <v>15000</v>
      </c>
      <c r="M35" s="264">
        <f t="shared" si="21"/>
        <v>-5473</v>
      </c>
      <c r="N35" s="264">
        <v>4503</v>
      </c>
      <c r="O35" s="398">
        <v>15000</v>
      </c>
      <c r="P35" s="396">
        <f>+Sheet1!Q116</f>
        <v>11262</v>
      </c>
      <c r="Q35" s="396">
        <f t="shared" si="18"/>
        <v>3738</v>
      </c>
      <c r="R35" s="432"/>
      <c r="S35" s="250">
        <f>+Sheet1!K116</f>
        <v>14900</v>
      </c>
      <c r="T35" s="428">
        <f t="shared" si="19"/>
        <v>-3638</v>
      </c>
      <c r="U35" s="428">
        <f t="shared" si="20"/>
        <v>100</v>
      </c>
    </row>
    <row r="36" spans="1:24" ht="18" x14ac:dyDescent="0.25">
      <c r="A36" s="164" t="s">
        <v>190</v>
      </c>
      <c r="B36" s="186">
        <v>15000</v>
      </c>
      <c r="C36" s="197"/>
      <c r="D36" s="194">
        <v>27000</v>
      </c>
      <c r="E36" s="197"/>
      <c r="F36" s="193">
        <v>27000</v>
      </c>
      <c r="G36" s="197"/>
      <c r="H36" s="190">
        <v>24000</v>
      </c>
      <c r="I36" s="191">
        <v>0</v>
      </c>
      <c r="J36" s="206"/>
      <c r="K36" s="206"/>
      <c r="L36" s="250">
        <v>27000</v>
      </c>
      <c r="M36" s="264">
        <f t="shared" si="21"/>
        <v>3000</v>
      </c>
      <c r="N36" s="264">
        <v>19500</v>
      </c>
      <c r="O36" s="398">
        <v>27000</v>
      </c>
      <c r="P36" s="396">
        <f>+Sheet1!Q124</f>
        <v>18000</v>
      </c>
      <c r="Q36" s="396">
        <f t="shared" si="18"/>
        <v>9000</v>
      </c>
      <c r="R36" s="432"/>
      <c r="S36" s="250">
        <f>+Sheet1!K124</f>
        <v>27000</v>
      </c>
      <c r="T36" s="428">
        <f t="shared" si="19"/>
        <v>-9000</v>
      </c>
      <c r="U36" s="428">
        <f t="shared" si="20"/>
        <v>0</v>
      </c>
    </row>
    <row r="37" spans="1:24" ht="18" customHeight="1" x14ac:dyDescent="0.25">
      <c r="A37" s="210" t="s">
        <v>53</v>
      </c>
      <c r="B37" s="186">
        <v>0</v>
      </c>
      <c r="C37" s="197"/>
      <c r="D37" s="187">
        <v>0</v>
      </c>
      <c r="E37" s="197"/>
      <c r="F37" s="193">
        <v>1400</v>
      </c>
      <c r="G37" s="197"/>
      <c r="H37" s="190">
        <v>0</v>
      </c>
      <c r="I37" s="191">
        <v>0</v>
      </c>
      <c r="J37" s="206"/>
      <c r="K37" s="206"/>
      <c r="L37" s="250">
        <v>1400</v>
      </c>
      <c r="M37" s="264">
        <f t="shared" si="21"/>
        <v>1400</v>
      </c>
      <c r="N37" s="264">
        <v>0</v>
      </c>
      <c r="O37" s="398">
        <v>1400</v>
      </c>
      <c r="P37" s="396">
        <f>+Sheet1!Q128</f>
        <v>0</v>
      </c>
      <c r="Q37" s="396">
        <f t="shared" si="18"/>
        <v>1400</v>
      </c>
      <c r="R37" s="432"/>
      <c r="S37" s="250">
        <f>+Sheet1!K128</f>
        <v>1400</v>
      </c>
      <c r="T37" s="428">
        <f t="shared" si="19"/>
        <v>-1400</v>
      </c>
      <c r="U37" s="428">
        <f t="shared" si="20"/>
        <v>0</v>
      </c>
    </row>
    <row r="38" spans="1:24" ht="18" customHeight="1" x14ac:dyDescent="0.25">
      <c r="A38" s="210" t="s">
        <v>191</v>
      </c>
      <c r="B38" s="186">
        <v>134078</v>
      </c>
      <c r="C38" s="197" t="s">
        <v>177</v>
      </c>
      <c r="D38" s="187">
        <v>127374</v>
      </c>
      <c r="E38" s="197"/>
      <c r="F38" s="193">
        <v>120972</v>
      </c>
      <c r="G38" s="197" t="s">
        <v>236</v>
      </c>
      <c r="H38" s="190">
        <v>123485.99999999999</v>
      </c>
      <c r="I38" s="191">
        <v>2513.9999999999854</v>
      </c>
      <c r="J38" s="206" t="s">
        <v>279</v>
      </c>
      <c r="K38" s="206"/>
      <c r="L38" s="250">
        <v>113102</v>
      </c>
      <c r="M38" s="264">
        <f t="shared" si="21"/>
        <v>-10383.999999999985</v>
      </c>
      <c r="N38" s="264">
        <v>113102</v>
      </c>
      <c r="O38" s="398">
        <v>120715</v>
      </c>
      <c r="P38" s="396">
        <f>+Sheet1!Q156</f>
        <v>121616</v>
      </c>
      <c r="Q38" s="396">
        <f t="shared" si="18"/>
        <v>-901</v>
      </c>
      <c r="R38" s="432"/>
      <c r="S38" s="250">
        <f>+Sheet1!K156</f>
        <v>124002</v>
      </c>
      <c r="T38" s="428">
        <f t="shared" si="19"/>
        <v>-2386</v>
      </c>
      <c r="U38" s="428">
        <f t="shared" si="20"/>
        <v>-3287</v>
      </c>
    </row>
    <row r="39" spans="1:24" ht="18" x14ac:dyDescent="0.25">
      <c r="A39" s="210" t="s">
        <v>192</v>
      </c>
      <c r="B39" s="186">
        <v>53075</v>
      </c>
      <c r="C39" s="197"/>
      <c r="D39" s="187">
        <v>52717</v>
      </c>
      <c r="E39" s="197"/>
      <c r="F39" s="193">
        <v>53771</v>
      </c>
      <c r="G39" s="197"/>
      <c r="H39" s="190">
        <v>51500</v>
      </c>
      <c r="I39" s="191">
        <v>-2271</v>
      </c>
      <c r="J39" s="206" t="s">
        <v>245</v>
      </c>
      <c r="K39" s="206"/>
      <c r="L39" s="250">
        <v>47687</v>
      </c>
      <c r="M39" s="264">
        <f t="shared" si="21"/>
        <v>-3813</v>
      </c>
      <c r="N39" s="264">
        <v>47687</v>
      </c>
      <c r="O39" s="398">
        <v>43700</v>
      </c>
      <c r="P39" s="396">
        <f>+Sheet1!Q160</f>
        <v>43700</v>
      </c>
      <c r="Q39" s="396">
        <f t="shared" si="18"/>
        <v>0</v>
      </c>
      <c r="R39" s="432"/>
      <c r="S39" s="250">
        <f>+Sheet1!K160</f>
        <v>44574</v>
      </c>
      <c r="T39" s="428">
        <f t="shared" si="19"/>
        <v>-874</v>
      </c>
      <c r="U39" s="428">
        <f t="shared" si="20"/>
        <v>-874</v>
      </c>
    </row>
    <row r="40" spans="1:24" ht="20.25" customHeight="1" x14ac:dyDescent="0.25">
      <c r="A40" s="210" t="s">
        <v>63</v>
      </c>
      <c r="B40" s="186">
        <v>44435</v>
      </c>
      <c r="C40" s="197"/>
      <c r="D40" s="187">
        <v>65594</v>
      </c>
      <c r="E40" s="197"/>
      <c r="F40" s="193">
        <v>85360</v>
      </c>
      <c r="G40" s="197"/>
      <c r="H40" s="190">
        <v>65413</v>
      </c>
      <c r="I40" s="191">
        <v>-4930</v>
      </c>
      <c r="J40" s="206"/>
      <c r="K40" s="206"/>
      <c r="L40" s="250">
        <v>79200</v>
      </c>
      <c r="M40" s="264">
        <f t="shared" si="21"/>
        <v>13787</v>
      </c>
      <c r="N40" s="264">
        <v>63607</v>
      </c>
      <c r="O40" s="398">
        <v>80468</v>
      </c>
      <c r="P40" s="396">
        <f>+Sheet1!Q178</f>
        <v>76194</v>
      </c>
      <c r="Q40" s="396">
        <f t="shared" si="18"/>
        <v>4274</v>
      </c>
      <c r="R40" s="432"/>
      <c r="S40" s="250">
        <f>+Sheet1!K178</f>
        <v>74206</v>
      </c>
      <c r="T40" s="428">
        <f t="shared" si="19"/>
        <v>1988</v>
      </c>
      <c r="U40" s="428">
        <f t="shared" si="20"/>
        <v>6262</v>
      </c>
    </row>
    <row r="41" spans="1:24" ht="18" x14ac:dyDescent="0.25">
      <c r="A41" s="210" t="s">
        <v>75</v>
      </c>
      <c r="B41" s="186">
        <v>1968</v>
      </c>
      <c r="C41" s="197"/>
      <c r="D41" s="187">
        <v>2369</v>
      </c>
      <c r="E41" s="197"/>
      <c r="F41" s="193">
        <v>8750</v>
      </c>
      <c r="G41" s="197"/>
      <c r="H41" s="190">
        <v>1864</v>
      </c>
      <c r="I41" s="191">
        <v>-4750</v>
      </c>
      <c r="J41" s="206"/>
      <c r="K41" s="206"/>
      <c r="L41" s="250">
        <v>3000</v>
      </c>
      <c r="M41" s="264">
        <f t="shared" si="21"/>
        <v>1136</v>
      </c>
      <c r="N41" s="264">
        <v>1426</v>
      </c>
      <c r="O41" s="398">
        <v>3000</v>
      </c>
      <c r="P41" s="396">
        <f>+Sheet1!Q183</f>
        <v>1525</v>
      </c>
      <c r="Q41" s="396">
        <f t="shared" si="18"/>
        <v>1475</v>
      </c>
      <c r="R41" s="432"/>
      <c r="S41" s="250">
        <f>+Sheet1!K183</f>
        <v>2000</v>
      </c>
      <c r="T41" s="428">
        <f t="shared" si="19"/>
        <v>-475</v>
      </c>
      <c r="U41" s="428">
        <f t="shared" si="20"/>
        <v>1000</v>
      </c>
    </row>
    <row r="42" spans="1:24" ht="18" x14ac:dyDescent="0.25">
      <c r="A42" s="210" t="s">
        <v>193</v>
      </c>
      <c r="B42" s="186">
        <v>50</v>
      </c>
      <c r="C42" s="197"/>
      <c r="D42" s="187">
        <v>95</v>
      </c>
      <c r="E42" s="197"/>
      <c r="F42" s="193">
        <v>5950</v>
      </c>
      <c r="G42" s="197"/>
      <c r="H42" s="190">
        <v>3901</v>
      </c>
      <c r="I42" s="191">
        <v>0</v>
      </c>
      <c r="J42" s="206"/>
      <c r="K42" s="206"/>
      <c r="L42" s="250">
        <v>5950</v>
      </c>
      <c r="M42" s="264">
        <f t="shared" si="21"/>
        <v>2049</v>
      </c>
      <c r="N42" s="264">
        <v>1079</v>
      </c>
      <c r="O42" s="398">
        <v>5950</v>
      </c>
      <c r="P42" s="396">
        <f>+Sheet1!Q218-P43</f>
        <v>1063</v>
      </c>
      <c r="Q42" s="396">
        <f t="shared" si="18"/>
        <v>4887</v>
      </c>
      <c r="R42" s="432"/>
      <c r="S42" s="250">
        <f>+Sheet1!K218-S43</f>
        <v>3500</v>
      </c>
      <c r="T42" s="428">
        <f t="shared" si="19"/>
        <v>-2437</v>
      </c>
      <c r="U42" s="428">
        <f t="shared" si="20"/>
        <v>2450</v>
      </c>
    </row>
    <row r="43" spans="1:24" ht="18" x14ac:dyDescent="0.25">
      <c r="A43" s="164" t="s">
        <v>414</v>
      </c>
      <c r="B43" s="186"/>
      <c r="C43" s="197"/>
      <c r="D43" s="187"/>
      <c r="E43" s="197"/>
      <c r="F43" s="193"/>
      <c r="G43" s="197"/>
      <c r="H43" s="190"/>
      <c r="I43" s="191"/>
      <c r="J43" s="206"/>
      <c r="K43" s="206"/>
      <c r="L43" s="250"/>
      <c r="M43" s="264"/>
      <c r="N43" s="264"/>
      <c r="O43" s="398">
        <v>20000</v>
      </c>
      <c r="P43" s="396">
        <f>+Sheet1!Q217</f>
        <v>20000</v>
      </c>
      <c r="Q43" s="396">
        <f t="shared" si="18"/>
        <v>0</v>
      </c>
      <c r="R43" s="432"/>
      <c r="S43" s="250">
        <f>+Sheet1!K217</f>
        <v>20000</v>
      </c>
      <c r="T43" s="428">
        <f t="shared" si="19"/>
        <v>0</v>
      </c>
      <c r="U43" s="428">
        <f t="shared" si="20"/>
        <v>0</v>
      </c>
    </row>
    <row r="44" spans="1:24" ht="18" x14ac:dyDescent="0.25">
      <c r="A44" s="210" t="s">
        <v>429</v>
      </c>
      <c r="B44" s="186">
        <v>1651</v>
      </c>
      <c r="C44" s="197"/>
      <c r="D44" s="187">
        <v>610</v>
      </c>
      <c r="E44" s="197"/>
      <c r="F44" s="193">
        <v>7650</v>
      </c>
      <c r="G44" s="197"/>
      <c r="H44" s="190">
        <v>7650</v>
      </c>
      <c r="I44" s="191">
        <v>0</v>
      </c>
      <c r="J44" s="206"/>
      <c r="K44" s="206"/>
      <c r="L44" s="250">
        <v>7650</v>
      </c>
      <c r="M44" s="264">
        <f t="shared" si="21"/>
        <v>0</v>
      </c>
      <c r="N44" s="264">
        <v>8296</v>
      </c>
      <c r="O44" s="398">
        <v>3400</v>
      </c>
      <c r="P44" s="396">
        <f>+Sheet1!Q222</f>
        <v>4350</v>
      </c>
      <c r="Q44" s="396">
        <f t="shared" si="18"/>
        <v>-950</v>
      </c>
      <c r="R44" s="432"/>
      <c r="S44" s="250">
        <f>+Sheet1!K222</f>
        <v>5100</v>
      </c>
      <c r="T44" s="428">
        <f t="shared" si="19"/>
        <v>-750</v>
      </c>
      <c r="U44" s="428">
        <f t="shared" si="20"/>
        <v>-1700</v>
      </c>
    </row>
    <row r="45" spans="1:24" ht="28.5" customHeight="1" x14ac:dyDescent="0.3">
      <c r="A45" s="320" t="s">
        <v>194</v>
      </c>
      <c r="B45" s="215">
        <v>441171</v>
      </c>
      <c r="C45" s="216"/>
      <c r="D45" s="215">
        <v>430195</v>
      </c>
      <c r="E45" s="216"/>
      <c r="F45" s="215">
        <v>554794</v>
      </c>
      <c r="G45" s="321"/>
      <c r="H45" s="322">
        <f>SUM(H30:H44)</f>
        <v>443564</v>
      </c>
      <c r="I45" s="215">
        <v>-27327.000000000015</v>
      </c>
      <c r="J45" s="206"/>
      <c r="K45" s="206"/>
      <c r="L45" s="411">
        <f t="shared" ref="L45:Q45" si="22">SUM(L30:L44)</f>
        <v>490834</v>
      </c>
      <c r="M45" s="280">
        <f t="shared" si="22"/>
        <v>47270.000000000015</v>
      </c>
      <c r="N45" s="411">
        <f t="shared" si="22"/>
        <v>371806</v>
      </c>
      <c r="O45" s="411">
        <f t="shared" si="22"/>
        <v>493105</v>
      </c>
      <c r="P45" s="411">
        <f t="shared" si="22"/>
        <v>420193</v>
      </c>
      <c r="Q45" s="411">
        <f t="shared" si="22"/>
        <v>72912</v>
      </c>
      <c r="R45" s="435"/>
      <c r="S45" s="411">
        <f>SUM(S30:S44)</f>
        <v>479374</v>
      </c>
      <c r="T45" s="411">
        <f>SUM(T30:T44)</f>
        <v>-59181</v>
      </c>
      <c r="U45" s="411">
        <f>SUM(U30:U44)</f>
        <v>13731</v>
      </c>
      <c r="W45" s="440">
        <f>+O45-P45</f>
        <v>72912</v>
      </c>
      <c r="X45" s="352">
        <f>+O45-S45</f>
        <v>13731</v>
      </c>
    </row>
    <row r="46" spans="1:24" s="223" customFormat="1" ht="9.9499999999999993" customHeight="1" x14ac:dyDescent="0.25">
      <c r="A46" s="218"/>
      <c r="B46" s="219"/>
      <c r="C46" s="220"/>
      <c r="D46" s="219"/>
      <c r="E46" s="220"/>
      <c r="F46" s="219"/>
      <c r="G46" s="220"/>
      <c r="H46" s="219"/>
      <c r="I46" s="219"/>
      <c r="J46" s="221"/>
      <c r="K46" s="221"/>
      <c r="L46" s="255"/>
      <c r="M46" s="266"/>
      <c r="N46" s="266"/>
      <c r="O46" s="13"/>
      <c r="P46" s="222"/>
      <c r="Q46" s="222"/>
      <c r="R46" s="13"/>
      <c r="S46" s="13"/>
      <c r="T46" s="13"/>
      <c r="U46" s="222"/>
    </row>
    <row r="47" spans="1:24" ht="23.1" customHeight="1" x14ac:dyDescent="0.25">
      <c r="A47" s="173" t="s">
        <v>395</v>
      </c>
      <c r="B47" s="177"/>
      <c r="C47" s="204" t="s">
        <v>178</v>
      </c>
      <c r="D47" s="179"/>
      <c r="E47" s="197"/>
      <c r="F47" s="147"/>
      <c r="G47" s="197"/>
      <c r="H47" s="222"/>
      <c r="I47" s="222"/>
      <c r="J47" s="221"/>
      <c r="K47" s="221"/>
      <c r="L47" s="255"/>
      <c r="M47" s="266"/>
      <c r="N47" s="266"/>
      <c r="O47" s="222"/>
      <c r="P47" s="222"/>
      <c r="Q47" s="222"/>
      <c r="R47" s="13"/>
      <c r="S47" s="222"/>
      <c r="T47" s="222"/>
      <c r="U47" s="222"/>
    </row>
    <row r="48" spans="1:24" ht="15.75" customHeight="1" x14ac:dyDescent="0.25">
      <c r="A48" s="81" t="s">
        <v>195</v>
      </c>
      <c r="B48" s="177">
        <v>148094</v>
      </c>
      <c r="C48" s="197"/>
      <c r="D48" s="179">
        <v>154150</v>
      </c>
      <c r="E48" s="197"/>
      <c r="F48" s="166">
        <v>161925</v>
      </c>
      <c r="G48" s="197"/>
      <c r="H48" s="154">
        <v>164025</v>
      </c>
      <c r="I48" s="183">
        <v>7476</v>
      </c>
      <c r="J48" s="206"/>
      <c r="K48" s="206"/>
      <c r="L48" s="250">
        <v>179061</v>
      </c>
      <c r="M48" s="264">
        <f t="shared" ref="M48:M59" si="23">+L48-H48</f>
        <v>15036</v>
      </c>
      <c r="N48" s="264">
        <v>174386</v>
      </c>
      <c r="O48" s="398">
        <v>182630</v>
      </c>
      <c r="P48" s="396">
        <f>+Sheet1!Q231</f>
        <v>175625</v>
      </c>
      <c r="Q48" s="396">
        <f t="shared" ref="Q48:Q52" si="24">+O48-P48</f>
        <v>7005</v>
      </c>
      <c r="R48" s="432"/>
      <c r="S48" s="250">
        <f>+Sheet1!K231</f>
        <v>187864</v>
      </c>
      <c r="T48" s="428">
        <f t="shared" ref="T48:T52" si="25">+P48-S48</f>
        <v>-12239</v>
      </c>
      <c r="U48" s="428">
        <f t="shared" ref="U48:U52" si="26">+O48-S48</f>
        <v>-5234</v>
      </c>
    </row>
    <row r="49" spans="1:24" ht="15.75" customHeight="1" x14ac:dyDescent="0.25">
      <c r="A49" s="81" t="s">
        <v>196</v>
      </c>
      <c r="B49" s="177">
        <v>40433</v>
      </c>
      <c r="C49" s="197"/>
      <c r="D49" s="179">
        <v>41256</v>
      </c>
      <c r="E49" s="197"/>
      <c r="F49" s="166">
        <v>49667</v>
      </c>
      <c r="G49" s="197"/>
      <c r="H49" s="154">
        <v>52728</v>
      </c>
      <c r="I49" s="183">
        <v>2076</v>
      </c>
      <c r="J49" s="206"/>
      <c r="K49" s="206"/>
      <c r="L49" s="250">
        <v>58205</v>
      </c>
      <c r="M49" s="264">
        <f t="shared" si="23"/>
        <v>5477</v>
      </c>
      <c r="N49" s="264">
        <v>56955</v>
      </c>
      <c r="O49" s="398">
        <v>59792</v>
      </c>
      <c r="P49" s="396">
        <f>+Sheet1!Q237</f>
        <v>57243</v>
      </c>
      <c r="Q49" s="396">
        <f t="shared" si="24"/>
        <v>2549</v>
      </c>
      <c r="R49" s="432"/>
      <c r="S49" s="250">
        <f>+Sheet1!K237</f>
        <v>61199</v>
      </c>
      <c r="T49" s="428">
        <f t="shared" si="25"/>
        <v>-3956</v>
      </c>
      <c r="U49" s="428">
        <f t="shared" si="26"/>
        <v>-1407</v>
      </c>
    </row>
    <row r="50" spans="1:24" ht="15.75" customHeight="1" x14ac:dyDescent="0.25">
      <c r="A50" s="81" t="s">
        <v>389</v>
      </c>
      <c r="B50" s="176"/>
      <c r="C50" s="197"/>
      <c r="D50" s="182">
        <v>110324</v>
      </c>
      <c r="E50" s="197"/>
      <c r="F50" s="168">
        <v>112232</v>
      </c>
      <c r="G50" s="197"/>
      <c r="H50" s="168">
        <v>71864</v>
      </c>
      <c r="I50" s="183">
        <v>-61169</v>
      </c>
      <c r="J50" s="206"/>
      <c r="K50" s="206"/>
      <c r="L50" s="250">
        <v>132581</v>
      </c>
      <c r="M50" s="264">
        <f t="shared" si="23"/>
        <v>60717</v>
      </c>
      <c r="N50" s="264">
        <v>133696</v>
      </c>
      <c r="O50" s="398">
        <v>135768</v>
      </c>
      <c r="P50" s="396">
        <f>+Sheet1!Q76</f>
        <v>133431</v>
      </c>
      <c r="Q50" s="396">
        <f t="shared" si="24"/>
        <v>2337</v>
      </c>
      <c r="R50" s="432"/>
      <c r="S50" s="250">
        <f>+Sheet1!K76</f>
        <v>140415</v>
      </c>
      <c r="T50" s="428">
        <f t="shared" si="25"/>
        <v>-6984</v>
      </c>
      <c r="U50" s="428">
        <f t="shared" si="26"/>
        <v>-4647</v>
      </c>
    </row>
    <row r="51" spans="1:24" ht="15.75" customHeight="1" x14ac:dyDescent="0.25">
      <c r="A51" s="81" t="s">
        <v>390</v>
      </c>
      <c r="B51" s="177">
        <v>18100</v>
      </c>
      <c r="C51" s="197"/>
      <c r="D51" s="179">
        <v>51169</v>
      </c>
      <c r="E51" s="197" t="s">
        <v>257</v>
      </c>
      <c r="F51" s="166">
        <v>63911</v>
      </c>
      <c r="G51" s="197"/>
      <c r="H51" s="154">
        <v>5722</v>
      </c>
      <c r="I51" s="183">
        <v>44407</v>
      </c>
      <c r="J51" s="206" t="s">
        <v>280</v>
      </c>
      <c r="K51" s="206"/>
      <c r="L51" s="250">
        <v>118757</v>
      </c>
      <c r="M51" s="264">
        <f t="shared" si="23"/>
        <v>113035</v>
      </c>
      <c r="N51" s="264">
        <v>44970</v>
      </c>
      <c r="O51" s="398">
        <v>118464</v>
      </c>
      <c r="P51" s="396">
        <f>+Sheet1!Q138</f>
        <v>130391</v>
      </c>
      <c r="Q51" s="396">
        <f t="shared" si="24"/>
        <v>-11927</v>
      </c>
      <c r="R51" s="432"/>
      <c r="S51" s="250">
        <f>+Sheet1!K138</f>
        <v>137564</v>
      </c>
      <c r="T51" s="428">
        <f t="shared" si="25"/>
        <v>-7173</v>
      </c>
      <c r="U51" s="428">
        <f t="shared" si="26"/>
        <v>-19100</v>
      </c>
    </row>
    <row r="52" spans="1:24" ht="15.75" customHeight="1" x14ac:dyDescent="0.25">
      <c r="A52" s="81" t="s">
        <v>197</v>
      </c>
      <c r="B52" s="177">
        <v>33652</v>
      </c>
      <c r="C52" s="197"/>
      <c r="D52" s="179">
        <v>21347</v>
      </c>
      <c r="E52" s="197"/>
      <c r="F52" s="166">
        <v>24852</v>
      </c>
      <c r="G52" s="197"/>
      <c r="H52" s="154">
        <v>22933</v>
      </c>
      <c r="I52" s="183">
        <v>972</v>
      </c>
      <c r="J52" s="206"/>
      <c r="K52" s="206"/>
      <c r="L52" s="250">
        <v>26614</v>
      </c>
      <c r="M52" s="264">
        <f t="shared" si="23"/>
        <v>3681</v>
      </c>
      <c r="N52" s="264">
        <v>23843</v>
      </c>
      <c r="O52" s="398">
        <v>27292</v>
      </c>
      <c r="P52" s="396">
        <f>+Sheet1!Q146</f>
        <v>24824</v>
      </c>
      <c r="Q52" s="396">
        <f t="shared" si="24"/>
        <v>2468</v>
      </c>
      <c r="R52" s="432"/>
      <c r="S52" s="250">
        <f>+Sheet1!K146</f>
        <v>27892</v>
      </c>
      <c r="T52" s="428">
        <f t="shared" si="25"/>
        <v>-3068</v>
      </c>
      <c r="U52" s="428">
        <f t="shared" si="26"/>
        <v>-600</v>
      </c>
    </row>
    <row r="53" spans="1:24" ht="15.75" customHeight="1" x14ac:dyDescent="0.25">
      <c r="A53" s="165" t="s">
        <v>198</v>
      </c>
      <c r="B53" s="177"/>
      <c r="C53" s="197"/>
      <c r="D53" s="179"/>
      <c r="E53" s="197"/>
      <c r="F53" s="166"/>
      <c r="G53" s="197"/>
      <c r="H53" s="147"/>
      <c r="I53" s="183"/>
      <c r="J53" s="206"/>
      <c r="K53" s="206"/>
      <c r="L53" s="250"/>
      <c r="M53" s="264"/>
      <c r="N53" s="264"/>
      <c r="O53" s="398"/>
      <c r="P53" s="396"/>
      <c r="Q53" s="396"/>
      <c r="R53" s="432"/>
      <c r="S53" s="250"/>
      <c r="T53" s="250"/>
      <c r="U53" s="428">
        <f t="shared" ref="U53" si="27">+S53-O53</f>
        <v>0</v>
      </c>
    </row>
    <row r="54" spans="1:24" ht="15.75" customHeight="1" x14ac:dyDescent="0.25">
      <c r="A54" s="81" t="s">
        <v>199</v>
      </c>
      <c r="B54" s="177">
        <v>81623</v>
      </c>
      <c r="C54" s="197"/>
      <c r="D54" s="179">
        <v>81805</v>
      </c>
      <c r="E54" s="197"/>
      <c r="F54" s="166">
        <v>84931</v>
      </c>
      <c r="G54" s="197"/>
      <c r="H54" s="154">
        <v>89047</v>
      </c>
      <c r="I54" s="183">
        <v>4290</v>
      </c>
      <c r="J54" s="206"/>
      <c r="K54" s="206"/>
      <c r="L54" s="316">
        <f>92702-1</f>
        <v>92701</v>
      </c>
      <c r="M54" s="264">
        <f t="shared" si="23"/>
        <v>3654</v>
      </c>
      <c r="N54" s="264">
        <v>92523</v>
      </c>
      <c r="O54" s="398">
        <v>96055</v>
      </c>
      <c r="P54" s="396">
        <f>+Sheet1!Q201</f>
        <v>95123</v>
      </c>
      <c r="Q54" s="396">
        <f t="shared" ref="Q54:Q59" si="28">+O54-P54</f>
        <v>932</v>
      </c>
      <c r="R54" s="432"/>
      <c r="S54" s="250">
        <f>+Sheet1!K201</f>
        <v>99113</v>
      </c>
      <c r="T54" s="428">
        <f t="shared" ref="T54:T59" si="29">+P54-S54</f>
        <v>-3990</v>
      </c>
      <c r="U54" s="428">
        <f t="shared" ref="U54:U59" si="30">+O54-S54</f>
        <v>-3058</v>
      </c>
    </row>
    <row r="55" spans="1:24" ht="15.75" customHeight="1" x14ac:dyDescent="0.25">
      <c r="A55" s="81" t="s">
        <v>200</v>
      </c>
      <c r="B55" s="177">
        <v>33454</v>
      </c>
      <c r="C55" s="197"/>
      <c r="D55" s="179">
        <v>28560</v>
      </c>
      <c r="E55" s="197"/>
      <c r="F55" s="166">
        <v>35395</v>
      </c>
      <c r="G55" s="197"/>
      <c r="H55" s="154">
        <v>28337</v>
      </c>
      <c r="I55" s="183">
        <v>1594</v>
      </c>
      <c r="J55" s="206"/>
      <c r="K55" s="206"/>
      <c r="L55" s="250">
        <v>48212</v>
      </c>
      <c r="M55" s="264">
        <f t="shared" si="23"/>
        <v>19875</v>
      </c>
      <c r="N55" s="264">
        <v>41316</v>
      </c>
      <c r="O55" s="398">
        <v>49610</v>
      </c>
      <c r="P55" s="396">
        <f>+Sheet1!Q206</f>
        <v>41413</v>
      </c>
      <c r="Q55" s="396">
        <f t="shared" si="28"/>
        <v>8197</v>
      </c>
      <c r="R55" s="432"/>
      <c r="S55" s="250">
        <f>+Sheet1!K206</f>
        <v>50850</v>
      </c>
      <c r="T55" s="428">
        <f t="shared" si="29"/>
        <v>-9437</v>
      </c>
      <c r="U55" s="428">
        <f t="shared" si="30"/>
        <v>-1240</v>
      </c>
    </row>
    <row r="56" spans="1:24" ht="15.75" customHeight="1" x14ac:dyDescent="0.25">
      <c r="A56" s="256" t="s">
        <v>285</v>
      </c>
      <c r="B56" s="177">
        <v>75018</v>
      </c>
      <c r="C56" s="197"/>
      <c r="D56" s="179">
        <v>75726</v>
      </c>
      <c r="E56" s="197"/>
      <c r="F56" s="166">
        <v>78632</v>
      </c>
      <c r="G56" s="197"/>
      <c r="H56" s="154">
        <v>82373</v>
      </c>
      <c r="I56" s="183">
        <v>4005</v>
      </c>
      <c r="J56" s="206"/>
      <c r="K56" s="206"/>
      <c r="L56" s="250">
        <v>85886</v>
      </c>
      <c r="M56" s="264">
        <f t="shared" si="23"/>
        <v>3513</v>
      </c>
      <c r="N56" s="264">
        <v>85593</v>
      </c>
      <c r="O56" s="398">
        <v>101355</v>
      </c>
      <c r="P56" s="396">
        <f>+Sheet1!Q195</f>
        <v>100530</v>
      </c>
      <c r="Q56" s="396">
        <f t="shared" si="28"/>
        <v>825</v>
      </c>
      <c r="R56" s="432"/>
      <c r="S56" s="250">
        <f>+Sheet1!K195</f>
        <v>105222</v>
      </c>
      <c r="T56" s="428">
        <f t="shared" si="29"/>
        <v>-4692</v>
      </c>
      <c r="U56" s="428">
        <f t="shared" si="30"/>
        <v>-3867</v>
      </c>
    </row>
    <row r="57" spans="1:24" ht="15.75" customHeight="1" x14ac:dyDescent="0.25">
      <c r="A57" s="81" t="s">
        <v>296</v>
      </c>
      <c r="B57" s="177">
        <v>41705</v>
      </c>
      <c r="C57" s="197"/>
      <c r="D57" s="179">
        <v>40401</v>
      </c>
      <c r="E57" s="197" t="s">
        <v>257</v>
      </c>
      <c r="F57" s="166">
        <v>52306</v>
      </c>
      <c r="G57" s="197"/>
      <c r="H57" s="154">
        <v>47830</v>
      </c>
      <c r="I57" s="183">
        <v>2354</v>
      </c>
      <c r="J57" s="206" t="s">
        <v>257</v>
      </c>
      <c r="K57" s="206"/>
      <c r="L57" s="250">
        <v>70716</v>
      </c>
      <c r="M57" s="264">
        <f t="shared" si="23"/>
        <v>22886</v>
      </c>
      <c r="N57" s="264">
        <v>58089</v>
      </c>
      <c r="O57" s="398">
        <v>72766</v>
      </c>
      <c r="P57" s="396">
        <f>+Sheet1!Q187</f>
        <v>48453</v>
      </c>
      <c r="Q57" s="396">
        <f t="shared" si="28"/>
        <v>24313</v>
      </c>
      <c r="R57" s="432"/>
      <c r="S57" s="250">
        <f>+Sheet1!K187</f>
        <v>74585</v>
      </c>
      <c r="T57" s="428">
        <f t="shared" si="29"/>
        <v>-26132</v>
      </c>
      <c r="U57" s="428">
        <f t="shared" si="30"/>
        <v>-1819</v>
      </c>
    </row>
    <row r="58" spans="1:24" ht="15.75" customHeight="1" x14ac:dyDescent="0.25">
      <c r="A58" s="256" t="s">
        <v>289</v>
      </c>
      <c r="B58" s="177"/>
      <c r="C58" s="197"/>
      <c r="D58" s="179"/>
      <c r="E58" s="197"/>
      <c r="F58" s="166">
        <v>0</v>
      </c>
      <c r="G58" s="197"/>
      <c r="H58" s="154">
        <v>0</v>
      </c>
      <c r="I58" s="183">
        <v>0</v>
      </c>
      <c r="J58" s="206"/>
      <c r="K58" s="206"/>
      <c r="L58" s="250">
        <v>15600</v>
      </c>
      <c r="M58" s="264">
        <f t="shared" si="23"/>
        <v>15600</v>
      </c>
      <c r="N58" s="264">
        <v>0</v>
      </c>
      <c r="O58" s="398">
        <v>15600</v>
      </c>
      <c r="P58" s="396">
        <f>+Sheet1!Q190</f>
        <v>0</v>
      </c>
      <c r="Q58" s="396">
        <f t="shared" si="28"/>
        <v>15600</v>
      </c>
      <c r="R58" s="432"/>
      <c r="S58" s="250">
        <f>+Sheet1!K190</f>
        <v>0</v>
      </c>
      <c r="T58" s="428">
        <f t="shared" si="29"/>
        <v>0</v>
      </c>
      <c r="U58" s="428">
        <f t="shared" si="30"/>
        <v>15600</v>
      </c>
    </row>
    <row r="59" spans="1:24" ht="15.75" customHeight="1" x14ac:dyDescent="0.25">
      <c r="A59" s="81" t="s">
        <v>210</v>
      </c>
      <c r="B59" s="177">
        <v>0</v>
      </c>
      <c r="C59" s="197"/>
      <c r="D59" s="179">
        <v>0</v>
      </c>
      <c r="E59" s="197"/>
      <c r="F59" s="166">
        <v>35000</v>
      </c>
      <c r="G59" s="197"/>
      <c r="H59" s="154">
        <v>618</v>
      </c>
      <c r="I59" s="183">
        <v>-10000</v>
      </c>
      <c r="J59" s="206" t="s">
        <v>246</v>
      </c>
      <c r="K59" s="206"/>
      <c r="L59" s="250">
        <v>25000</v>
      </c>
      <c r="M59" s="264">
        <f t="shared" si="23"/>
        <v>24382</v>
      </c>
      <c r="N59" s="264">
        <v>10989</v>
      </c>
      <c r="O59" s="398">
        <v>32500</v>
      </c>
      <c r="P59" s="396">
        <f>+Sheet1!Q90</f>
        <v>48745</v>
      </c>
      <c r="Q59" s="396">
        <f t="shared" si="28"/>
        <v>-16245</v>
      </c>
      <c r="R59" s="432"/>
      <c r="S59" s="427">
        <f>+Sheet1!K90</f>
        <v>32500</v>
      </c>
      <c r="T59" s="428">
        <f t="shared" si="29"/>
        <v>16245</v>
      </c>
      <c r="U59" s="428">
        <f t="shared" si="30"/>
        <v>0</v>
      </c>
    </row>
    <row r="60" spans="1:24" ht="29.1" customHeight="1" x14ac:dyDescent="0.3">
      <c r="A60" s="323" t="s">
        <v>201</v>
      </c>
      <c r="B60" s="324">
        <v>599480</v>
      </c>
      <c r="C60" s="325" t="s">
        <v>179</v>
      </c>
      <c r="D60" s="324">
        <v>695841</v>
      </c>
      <c r="E60" s="326"/>
      <c r="F60" s="324">
        <v>791313</v>
      </c>
      <c r="G60" s="327"/>
      <c r="H60" s="328">
        <f>SUM(H48:H59)</f>
        <v>565477</v>
      </c>
      <c r="I60" s="271">
        <v>63963</v>
      </c>
      <c r="J60" s="206"/>
      <c r="K60" s="206"/>
      <c r="L60" s="281">
        <f t="shared" ref="L60:Q60" si="31">SUM(L48:L59)</f>
        <v>853333</v>
      </c>
      <c r="M60" s="281">
        <f t="shared" si="31"/>
        <v>287856</v>
      </c>
      <c r="N60" s="281">
        <f t="shared" si="31"/>
        <v>722360</v>
      </c>
      <c r="O60" s="281">
        <f t="shared" si="31"/>
        <v>891832</v>
      </c>
      <c r="P60" s="281">
        <f t="shared" si="31"/>
        <v>855778</v>
      </c>
      <c r="Q60" s="281">
        <f t="shared" si="31"/>
        <v>36054</v>
      </c>
      <c r="R60" s="436"/>
      <c r="S60" s="281">
        <f>SUM(S48:S59)</f>
        <v>917204</v>
      </c>
      <c r="T60" s="281">
        <f>SUM(T48:T59)</f>
        <v>-61426</v>
      </c>
      <c r="U60" s="281">
        <f>SUM(U48:U59)</f>
        <v>-25372</v>
      </c>
      <c r="X60" s="352">
        <f>+O60-S60</f>
        <v>-25372</v>
      </c>
    </row>
    <row r="61" spans="1:24" ht="29.1" customHeight="1" x14ac:dyDescent="0.25">
      <c r="A61" s="329" t="s">
        <v>286</v>
      </c>
      <c r="B61" s="330">
        <f>SUM(B45,B60,)</f>
        <v>1040651</v>
      </c>
      <c r="C61" s="331"/>
      <c r="D61" s="330">
        <v>1126036</v>
      </c>
      <c r="E61" s="331"/>
      <c r="F61" s="330">
        <v>1346107</v>
      </c>
      <c r="G61" s="331"/>
      <c r="H61" s="332">
        <f>+H60+H45</f>
        <v>1009041</v>
      </c>
      <c r="I61" s="170">
        <v>36635.999999999985</v>
      </c>
      <c r="J61" s="206"/>
      <c r="K61" s="206"/>
      <c r="L61" s="272">
        <f t="shared" ref="L61:Q61" si="32">+L60+L45</f>
        <v>1344167</v>
      </c>
      <c r="M61" s="272">
        <f t="shared" si="32"/>
        <v>335126</v>
      </c>
      <c r="N61" s="272">
        <f t="shared" si="32"/>
        <v>1094166</v>
      </c>
      <c r="O61" s="272">
        <f t="shared" si="32"/>
        <v>1384937</v>
      </c>
      <c r="P61" s="272">
        <f t="shared" si="32"/>
        <v>1275971</v>
      </c>
      <c r="Q61" s="272">
        <f t="shared" si="32"/>
        <v>108966</v>
      </c>
      <c r="R61" s="437"/>
      <c r="S61" s="272">
        <f>+S60+S45</f>
        <v>1396578</v>
      </c>
      <c r="T61" s="272">
        <f>+T60+T45</f>
        <v>-120607</v>
      </c>
      <c r="U61" s="272">
        <f>+U60+U45</f>
        <v>-11641</v>
      </c>
      <c r="X61" s="352">
        <f>+O61-S61</f>
        <v>-11641</v>
      </c>
    </row>
    <row r="62" spans="1:24" ht="9.9499999999999993" customHeight="1" x14ac:dyDescent="0.25">
      <c r="A62" s="157"/>
      <c r="B62" s="158"/>
      <c r="C62" s="197"/>
      <c r="D62" s="158"/>
      <c r="E62" s="197"/>
      <c r="F62" s="158"/>
      <c r="G62" s="197"/>
      <c r="H62" s="158"/>
      <c r="I62" s="158"/>
      <c r="J62" s="206"/>
      <c r="K62" s="206"/>
      <c r="L62" s="255"/>
      <c r="M62" s="266"/>
      <c r="N62" s="266"/>
      <c r="O62" s="13"/>
      <c r="P62" s="13"/>
      <c r="Q62" s="13"/>
      <c r="R62" s="13"/>
      <c r="S62" s="13"/>
      <c r="T62" s="13"/>
      <c r="U62" s="13"/>
    </row>
    <row r="63" spans="1:24" ht="29.1" customHeight="1" x14ac:dyDescent="0.25">
      <c r="A63" s="224" t="s">
        <v>202</v>
      </c>
      <c r="B63" s="177"/>
      <c r="C63" s="197"/>
      <c r="D63" s="158"/>
      <c r="E63" s="197"/>
      <c r="F63" s="158"/>
      <c r="G63" s="197"/>
      <c r="H63" s="158"/>
      <c r="I63" s="158"/>
      <c r="J63" s="206"/>
      <c r="K63" s="206"/>
      <c r="L63" s="255"/>
      <c r="M63" s="266"/>
      <c r="N63" s="266"/>
      <c r="O63" s="13"/>
      <c r="P63" s="13"/>
      <c r="Q63" s="13"/>
      <c r="R63" s="13"/>
      <c r="S63" s="13"/>
      <c r="T63" s="13"/>
      <c r="U63" s="13"/>
    </row>
    <row r="64" spans="1:24" ht="15.75" customHeight="1" x14ac:dyDescent="0.25">
      <c r="A64" s="157" t="s">
        <v>203</v>
      </c>
      <c r="B64" s="225"/>
      <c r="C64" s="197"/>
      <c r="D64" s="177">
        <v>1126450</v>
      </c>
      <c r="E64" s="197"/>
      <c r="F64" s="226">
        <v>1346107</v>
      </c>
      <c r="G64" s="197"/>
      <c r="H64" s="226">
        <f>+H26</f>
        <v>1097904</v>
      </c>
      <c r="I64" s="177">
        <v>36636</v>
      </c>
      <c r="J64" s="206"/>
      <c r="K64" s="206"/>
      <c r="L64" s="260">
        <f>+L26</f>
        <v>1441728</v>
      </c>
      <c r="M64" s="260">
        <f>+M26</f>
        <v>360863</v>
      </c>
      <c r="N64" s="260">
        <f>+N26</f>
        <v>1115260</v>
      </c>
      <c r="O64" s="260">
        <f>+O26</f>
        <v>1384937</v>
      </c>
      <c r="P64" s="260">
        <f>+P26</f>
        <v>1275971</v>
      </c>
      <c r="Q64" s="260"/>
      <c r="R64" s="438"/>
      <c r="S64" s="260">
        <f>+S26</f>
        <v>1396578.26</v>
      </c>
      <c r="T64" s="260"/>
      <c r="U64" s="260">
        <f>+U26</f>
        <v>11641.260000000009</v>
      </c>
      <c r="X64" s="352">
        <f t="shared" ref="X64:X65" si="33">+O64-S64</f>
        <v>-11641.260000000009</v>
      </c>
    </row>
    <row r="65" spans="1:27" ht="15.75" customHeight="1" x14ac:dyDescent="0.25">
      <c r="A65" s="157" t="s">
        <v>204</v>
      </c>
      <c r="B65" s="225"/>
      <c r="C65" s="197"/>
      <c r="D65" s="177">
        <v>1126036</v>
      </c>
      <c r="E65" s="197"/>
      <c r="F65" s="226">
        <v>1346107</v>
      </c>
      <c r="G65" s="197"/>
      <c r="H65" s="226">
        <f>+H61</f>
        <v>1009041</v>
      </c>
      <c r="I65" s="177">
        <v>36635.999999999985</v>
      </c>
      <c r="J65" s="206"/>
      <c r="K65" s="206"/>
      <c r="L65" s="260">
        <f>+L61</f>
        <v>1344167</v>
      </c>
      <c r="M65" s="260">
        <f>+M61</f>
        <v>335126</v>
      </c>
      <c r="N65" s="260">
        <f>+N61</f>
        <v>1094166</v>
      </c>
      <c r="O65" s="260">
        <f>+O61</f>
        <v>1384937</v>
      </c>
      <c r="P65" s="260">
        <f>+P61</f>
        <v>1275971</v>
      </c>
      <c r="Q65" s="260"/>
      <c r="R65" s="438"/>
      <c r="S65" s="260">
        <f>+S61</f>
        <v>1396578</v>
      </c>
      <c r="T65" s="260"/>
      <c r="U65" s="260">
        <f>+U61</f>
        <v>-11641</v>
      </c>
      <c r="X65" s="352">
        <f t="shared" si="33"/>
        <v>-11641</v>
      </c>
    </row>
    <row r="66" spans="1:27" ht="15.75" customHeight="1" x14ac:dyDescent="0.25">
      <c r="A66" s="157" t="s">
        <v>240</v>
      </c>
      <c r="B66" s="225"/>
      <c r="C66" s="197"/>
      <c r="D66" s="183">
        <v>25000</v>
      </c>
      <c r="E66" s="197"/>
      <c r="F66" s="147"/>
      <c r="G66" s="197"/>
      <c r="H66" s="406">
        <v>16750</v>
      </c>
      <c r="I66" s="176"/>
      <c r="J66" s="206"/>
      <c r="K66" s="206"/>
      <c r="L66" s="251"/>
      <c r="M66" s="251"/>
      <c r="N66" s="251"/>
      <c r="O66" s="251"/>
      <c r="P66" s="251"/>
      <c r="Q66" s="251"/>
      <c r="R66" s="252"/>
      <c r="S66" s="251"/>
      <c r="T66" s="251"/>
      <c r="U66" s="251"/>
      <c r="X66" s="352">
        <f>+S66-L66</f>
        <v>0</v>
      </c>
    </row>
    <row r="67" spans="1:27" ht="26.1" customHeight="1" thickBot="1" x14ac:dyDescent="0.35">
      <c r="A67" s="413" t="s">
        <v>205</v>
      </c>
      <c r="B67" s="333"/>
      <c r="C67" s="334"/>
      <c r="D67" s="335">
        <v>-24586</v>
      </c>
      <c r="E67" s="336" t="s">
        <v>258</v>
      </c>
      <c r="F67" s="335">
        <v>0</v>
      </c>
      <c r="G67" s="337" t="s">
        <v>243</v>
      </c>
      <c r="H67" s="414">
        <f>+H64-H65-H66</f>
        <v>72113</v>
      </c>
      <c r="I67" s="227">
        <v>0</v>
      </c>
      <c r="J67" s="206"/>
      <c r="K67" s="206"/>
      <c r="L67" s="415">
        <f>+L64-L65</f>
        <v>97561</v>
      </c>
      <c r="M67" s="282">
        <f>+M64-M65</f>
        <v>25737</v>
      </c>
      <c r="N67" s="415">
        <f>+N64-N65</f>
        <v>21094</v>
      </c>
      <c r="O67" s="415">
        <f>+O64-O65</f>
        <v>0</v>
      </c>
      <c r="P67" s="415">
        <f>+P64-P65</f>
        <v>0</v>
      </c>
      <c r="Q67" s="415"/>
      <c r="R67" s="439"/>
      <c r="S67" s="415">
        <f>+S64-S65</f>
        <v>0.26000000000931323</v>
      </c>
      <c r="T67" s="415"/>
      <c r="U67" s="415">
        <f>+U64-U65</f>
        <v>23282.260000000009</v>
      </c>
      <c r="X67" s="352">
        <f>+S67-O67</f>
        <v>0.26000000000931323</v>
      </c>
    </row>
    <row r="68" spans="1:27" s="214" customFormat="1" ht="16.5" customHeight="1" thickTop="1" x14ac:dyDescent="0.25">
      <c r="A68" s="228"/>
      <c r="B68" s="213"/>
      <c r="C68" s="229"/>
      <c r="D68" s="213"/>
      <c r="E68" s="229"/>
      <c r="F68" s="213"/>
      <c r="G68" s="229"/>
      <c r="H68" s="213"/>
      <c r="I68" s="213"/>
      <c r="J68" s="230"/>
      <c r="K68" s="230"/>
      <c r="L68" s="262"/>
      <c r="M68" s="266"/>
      <c r="N68" s="266"/>
      <c r="O68" s="13"/>
      <c r="P68" s="213"/>
      <c r="Q68" s="213"/>
      <c r="R68" s="213"/>
      <c r="S68" s="13"/>
      <c r="T68" s="13"/>
      <c r="U68" s="213"/>
    </row>
    <row r="69" spans="1:27" ht="15.75" customHeight="1" x14ac:dyDescent="0.25">
      <c r="A69" s="231" t="s">
        <v>215</v>
      </c>
      <c r="B69" s="176"/>
      <c r="C69" s="197"/>
      <c r="D69" s="13"/>
      <c r="E69" s="197"/>
      <c r="F69" s="13"/>
      <c r="G69" s="197"/>
      <c r="H69" s="13"/>
      <c r="I69" s="13"/>
      <c r="J69" s="206"/>
      <c r="K69" s="206"/>
      <c r="L69" s="252"/>
      <c r="M69" s="266"/>
      <c r="N69" s="266"/>
      <c r="O69" s="13"/>
      <c r="P69" s="13"/>
      <c r="Q69" s="13"/>
      <c r="R69" s="13"/>
      <c r="S69" s="13"/>
      <c r="T69" s="13"/>
      <c r="U69" s="13"/>
    </row>
    <row r="70" spans="1:27" ht="15.75" customHeight="1" x14ac:dyDescent="0.25">
      <c r="A70" s="81" t="s">
        <v>108</v>
      </c>
      <c r="B70" s="176"/>
      <c r="C70" s="197"/>
      <c r="D70" s="13"/>
      <c r="E70" s="197"/>
      <c r="F70" s="13"/>
      <c r="G70" s="197"/>
      <c r="H70" s="217">
        <v>231299</v>
      </c>
      <c r="J70" s="232" t="s">
        <v>259</v>
      </c>
      <c r="K70" s="232"/>
      <c r="L70" s="261">
        <v>230081</v>
      </c>
      <c r="M70" s="267"/>
      <c r="N70" s="261">
        <f>1280+1470+113102+47687+39168+1426+1079+8296</f>
        <v>213508</v>
      </c>
      <c r="O70" s="416">
        <v>228043</v>
      </c>
      <c r="P70" s="416">
        <f>676+3065+121616+43700+38658+1525+1063+4350</f>
        <v>214653</v>
      </c>
      <c r="R70" s="13"/>
      <c r="S70" s="416">
        <f>+Sheet1!B91+Sheet1!B98+Sheet1!B156+Sheet1!B160+Sheet1!B178+Sheet1!B183+Sheet1!B218+Sheet1!B222</f>
        <v>230472</v>
      </c>
      <c r="T70" s="441"/>
      <c r="U70" s="13"/>
      <c r="AA70" s="445">
        <f>+O70-P70</f>
        <v>13390</v>
      </c>
    </row>
    <row r="71" spans="1:27" ht="15.75" customHeight="1" x14ac:dyDescent="0.25">
      <c r="A71" s="81" t="s">
        <v>212</v>
      </c>
      <c r="B71" s="176"/>
      <c r="C71" s="197"/>
      <c r="D71" s="13"/>
      <c r="E71" s="197"/>
      <c r="F71" s="13"/>
      <c r="G71" s="197"/>
      <c r="H71" s="154">
        <v>124914</v>
      </c>
      <c r="I71" s="233"/>
      <c r="J71" s="206"/>
      <c r="K71" s="206"/>
      <c r="L71" s="250">
        <v>152252</v>
      </c>
      <c r="M71" s="267"/>
      <c r="N71" s="250">
        <f>13892+56395+6860+20300</f>
        <v>97447</v>
      </c>
      <c r="O71" s="398">
        <v>150252</v>
      </c>
      <c r="P71" s="398">
        <f>325+64702+16795+1294+18000</f>
        <v>101116</v>
      </c>
      <c r="R71" s="13"/>
      <c r="S71" s="398">
        <f>+Sheet1!C50+Sheet1!C67+Sheet1!C115+Sheet1!C117+Sheet1!C124+Sheet1!C128</f>
        <v>139285</v>
      </c>
      <c r="T71" s="442"/>
      <c r="U71" s="13"/>
      <c r="AA71" s="56">
        <f>+O71-P71</f>
        <v>49136</v>
      </c>
    </row>
    <row r="72" spans="1:27" ht="15.75" customHeight="1" x14ac:dyDescent="0.25">
      <c r="A72" s="81" t="s">
        <v>213</v>
      </c>
      <c r="B72" s="176"/>
      <c r="C72" s="197"/>
      <c r="D72" s="13"/>
      <c r="E72" s="197"/>
      <c r="F72" s="13"/>
      <c r="G72" s="197"/>
      <c r="H72" s="154">
        <v>50021</v>
      </c>
      <c r="J72" s="232" t="s">
        <v>259</v>
      </c>
      <c r="K72" s="232"/>
      <c r="L72" s="250">
        <v>64152</v>
      </c>
      <c r="M72" s="267"/>
      <c r="N72" s="250">
        <f>13000+6108+24439</f>
        <v>43547</v>
      </c>
      <c r="O72" s="398">
        <v>64605</v>
      </c>
      <c r="P72" s="398">
        <f>13000+5991+37536</f>
        <v>56527</v>
      </c>
      <c r="R72" s="13"/>
      <c r="S72" s="398">
        <f>+Sheet1!F50+Sheet1!H50+Sheet1!D178+Sheet1!G88+Sheet1!E116</f>
        <v>73568</v>
      </c>
      <c r="T72" s="442"/>
      <c r="U72" s="13"/>
      <c r="AA72" s="56">
        <f>+O72-P72</f>
        <v>8078</v>
      </c>
    </row>
    <row r="73" spans="1:27" ht="15.75" customHeight="1" x14ac:dyDescent="0.25">
      <c r="A73" s="81" t="s">
        <v>214</v>
      </c>
      <c r="B73" s="176"/>
      <c r="C73" s="197"/>
      <c r="D73" s="13"/>
      <c r="E73" s="197"/>
      <c r="F73" s="13"/>
      <c r="G73" s="197"/>
      <c r="H73" s="154">
        <v>39185</v>
      </c>
      <c r="I73" s="17"/>
      <c r="J73" s="206"/>
      <c r="K73" s="206"/>
      <c r="L73" s="250">
        <v>53459</v>
      </c>
      <c r="M73" s="267"/>
      <c r="N73" s="250">
        <v>19661</v>
      </c>
      <c r="O73" s="398">
        <v>15205</v>
      </c>
      <c r="P73" s="398">
        <v>16635</v>
      </c>
      <c r="R73" s="13"/>
      <c r="S73" s="398">
        <f>+Sheet1!I50</f>
        <v>15205</v>
      </c>
      <c r="T73" s="442"/>
      <c r="U73" s="13"/>
      <c r="AA73" s="56">
        <f>+O73-P73</f>
        <v>-1430</v>
      </c>
    </row>
    <row r="74" spans="1:27" ht="15.75" customHeight="1" x14ac:dyDescent="0.25">
      <c r="A74" s="81" t="s">
        <v>9</v>
      </c>
      <c r="B74" s="176"/>
      <c r="C74" s="197"/>
      <c r="D74" s="13"/>
      <c r="E74" s="197"/>
      <c r="F74" s="13"/>
      <c r="G74" s="197"/>
      <c r="H74" s="154">
        <v>20473</v>
      </c>
      <c r="I74" s="17"/>
      <c r="J74" s="206"/>
      <c r="K74" s="206"/>
      <c r="L74" s="250">
        <v>15000</v>
      </c>
      <c r="M74" s="267"/>
      <c r="N74" s="250">
        <f>4503</f>
        <v>4503</v>
      </c>
      <c r="O74" s="398">
        <v>35000</v>
      </c>
      <c r="P74" s="398">
        <f>11262+20000</f>
        <v>31262</v>
      </c>
      <c r="R74" s="13"/>
      <c r="S74" s="398">
        <f>+Sheet1!J245-S59</f>
        <v>20844</v>
      </c>
      <c r="T74" s="442"/>
      <c r="U74" s="13"/>
      <c r="AA74" s="56">
        <f>+O74-P74</f>
        <v>3738</v>
      </c>
    </row>
    <row r="75" spans="1:27" ht="24" customHeight="1" x14ac:dyDescent="0.25">
      <c r="A75" s="234"/>
      <c r="B75" s="235"/>
      <c r="C75" s="236"/>
      <c r="D75" s="235"/>
      <c r="E75" s="236"/>
      <c r="F75" s="235"/>
      <c r="G75" s="236"/>
      <c r="H75" s="338">
        <f>SUM(H70:H74)</f>
        <v>465892</v>
      </c>
      <c r="I75" s="212"/>
      <c r="J75" s="206"/>
      <c r="K75" s="206"/>
      <c r="L75" s="338">
        <f>SUM(L70:L74)</f>
        <v>514944</v>
      </c>
      <c r="M75" s="266"/>
      <c r="N75" s="338">
        <f>SUM(N70:N74)</f>
        <v>378666</v>
      </c>
      <c r="O75" s="338">
        <f>SUM(O70:O74)</f>
        <v>493105</v>
      </c>
      <c r="P75" s="338">
        <f>SUM(P70:P74)</f>
        <v>420193</v>
      </c>
      <c r="R75" s="13"/>
      <c r="S75" s="338">
        <f>SUM(S70:S74)</f>
        <v>479374</v>
      </c>
      <c r="T75" s="443"/>
      <c r="U75" s="13"/>
      <c r="X75" s="352">
        <f>+S75-L75</f>
        <v>-35570</v>
      </c>
      <c r="AA75" s="446">
        <f>SUM(AA70:AA74)</f>
        <v>72912</v>
      </c>
    </row>
    <row r="76" spans="1:27" ht="15.75" customHeight="1" x14ac:dyDescent="0.25">
      <c r="A76" s="231" t="s">
        <v>216</v>
      </c>
      <c r="B76" s="13"/>
      <c r="C76" s="197"/>
      <c r="D76" s="13"/>
      <c r="E76" s="197"/>
      <c r="F76" s="13"/>
      <c r="G76" s="197"/>
      <c r="H76" s="147"/>
      <c r="I76" s="13"/>
      <c r="J76" s="206"/>
      <c r="K76" s="206"/>
      <c r="L76" s="263"/>
      <c r="M76" s="266"/>
      <c r="N76" s="263"/>
      <c r="O76" s="372"/>
      <c r="P76" s="372"/>
      <c r="R76" s="13"/>
      <c r="S76" s="372"/>
      <c r="T76" s="13"/>
      <c r="U76" s="13"/>
      <c r="AA76" s="13"/>
    </row>
    <row r="77" spans="1:27" ht="15.75" customHeight="1" x14ac:dyDescent="0.25">
      <c r="A77" s="81" t="s">
        <v>108</v>
      </c>
      <c r="B77" s="13"/>
      <c r="C77" s="197"/>
      <c r="D77" s="13"/>
      <c r="E77" s="197"/>
      <c r="F77" s="13"/>
      <c r="G77" s="197"/>
      <c r="H77" s="217">
        <v>216753</v>
      </c>
      <c r="I77" s="211"/>
      <c r="J77" s="206"/>
      <c r="K77" s="206"/>
      <c r="L77" s="261">
        <v>237266</v>
      </c>
      <c r="M77" s="267"/>
      <c r="N77" s="261">
        <f>+N48+N49</f>
        <v>231341</v>
      </c>
      <c r="O77" s="416">
        <f>+O48+O49</f>
        <v>242422</v>
      </c>
      <c r="P77" s="416">
        <f>+P48+P49</f>
        <v>232868</v>
      </c>
      <c r="R77" s="13"/>
      <c r="S77" s="416">
        <f>+S48+S49</f>
        <v>249063</v>
      </c>
      <c r="T77" s="441"/>
      <c r="U77" s="13"/>
      <c r="AA77" s="445">
        <f>+O77-P77</f>
        <v>9554</v>
      </c>
    </row>
    <row r="78" spans="1:27" ht="15.75" customHeight="1" x14ac:dyDescent="0.25">
      <c r="A78" s="81" t="s">
        <v>213</v>
      </c>
      <c r="B78" s="13"/>
      <c r="C78" s="197"/>
      <c r="D78" s="13"/>
      <c r="E78" s="197"/>
      <c r="F78" s="13"/>
      <c r="G78" s="197"/>
      <c r="H78" s="154">
        <v>415259</v>
      </c>
      <c r="I78" s="17"/>
      <c r="J78" s="206"/>
      <c r="K78" s="206"/>
      <c r="L78" s="250">
        <v>689518</v>
      </c>
      <c r="M78" s="267"/>
      <c r="N78" s="250">
        <f>+N60-N49-N48</f>
        <v>491019</v>
      </c>
      <c r="O78" s="398">
        <f>+O60-O49-O48</f>
        <v>649410</v>
      </c>
      <c r="P78" s="398">
        <f>+P60-P49-P48</f>
        <v>622910</v>
      </c>
      <c r="R78" s="13"/>
      <c r="S78" s="398">
        <f>+S60-S49-S48</f>
        <v>668141</v>
      </c>
      <c r="T78" s="442"/>
      <c r="U78" s="13"/>
      <c r="AA78" s="56">
        <f>+O78-P78</f>
        <v>26500</v>
      </c>
    </row>
    <row r="79" spans="1:27" ht="23.1" customHeight="1" x14ac:dyDescent="0.25">
      <c r="A79" s="235"/>
      <c r="B79" s="235"/>
      <c r="C79" s="237"/>
      <c r="D79" s="235"/>
      <c r="E79" s="237"/>
      <c r="F79" s="235"/>
      <c r="G79" s="237"/>
      <c r="H79" s="341">
        <f>SUM(H77:H78)</f>
        <v>632012</v>
      </c>
      <c r="I79" s="212"/>
      <c r="J79" s="206"/>
      <c r="K79" s="206"/>
      <c r="L79" s="341">
        <f>SUM(L77:L78)</f>
        <v>926784</v>
      </c>
      <c r="M79" s="268"/>
      <c r="N79" s="341">
        <f>SUM(N77:N78)</f>
        <v>722360</v>
      </c>
      <c r="O79" s="341">
        <f>SUM(O77:O78)</f>
        <v>891832</v>
      </c>
      <c r="P79" s="341">
        <f>SUM(P77:P78)</f>
        <v>855778</v>
      </c>
      <c r="R79" s="13"/>
      <c r="S79" s="341">
        <f>SUM(S77:S78)</f>
        <v>917204</v>
      </c>
      <c r="T79" s="211"/>
      <c r="U79" s="13"/>
      <c r="X79" s="352">
        <f>+S79-L79</f>
        <v>-9580</v>
      </c>
      <c r="AA79" s="446">
        <f>SUM(AA77:AA78)</f>
        <v>36054</v>
      </c>
    </row>
    <row r="80" spans="1:27" ht="29.1" customHeight="1" thickBot="1" x14ac:dyDescent="0.3">
      <c r="A80" s="340" t="s">
        <v>99</v>
      </c>
      <c r="B80" s="238"/>
      <c r="C80" s="239"/>
      <c r="D80" s="238"/>
      <c r="E80" s="239"/>
      <c r="F80" s="238"/>
      <c r="G80" s="239"/>
      <c r="H80" s="339">
        <f>+H79+H75</f>
        <v>1097904</v>
      </c>
      <c r="I80" s="240"/>
      <c r="J80" s="206"/>
      <c r="K80" s="206"/>
      <c r="L80" s="339">
        <f>+L79+L75</f>
        <v>1441728</v>
      </c>
      <c r="M80" s="269"/>
      <c r="N80" s="339">
        <f>+N79+N75</f>
        <v>1101026</v>
      </c>
      <c r="O80" s="339">
        <f>+O79+O75</f>
        <v>1384937</v>
      </c>
      <c r="P80" s="339">
        <f>+P79+P75</f>
        <v>1275971</v>
      </c>
      <c r="R80" s="13"/>
      <c r="S80" s="339">
        <f>+S79+S75</f>
        <v>1396578</v>
      </c>
      <c r="T80" s="444"/>
      <c r="U80" s="13"/>
      <c r="X80" s="352">
        <f>+S80-L80</f>
        <v>-45150</v>
      </c>
      <c r="AA80" s="446">
        <f>+AA79+AA75</f>
        <v>108966</v>
      </c>
    </row>
    <row r="81" spans="1:21" ht="16.5" customHeight="1" thickTop="1" x14ac:dyDescent="0.25">
      <c r="A81" s="81"/>
      <c r="B81" s="13"/>
      <c r="C81" s="197"/>
      <c r="D81" s="13"/>
      <c r="E81" s="197"/>
      <c r="F81" s="13"/>
      <c r="G81" s="197"/>
      <c r="H81" s="13"/>
      <c r="I81" s="13"/>
      <c r="J81" s="206"/>
      <c r="K81" s="206"/>
      <c r="L81" s="252"/>
      <c r="M81" s="266"/>
      <c r="N81" s="266"/>
      <c r="O81" s="13"/>
      <c r="P81" s="13"/>
      <c r="Q81" s="13"/>
      <c r="R81" s="13"/>
      <c r="S81" s="13"/>
      <c r="T81" s="13"/>
      <c r="U81" s="13"/>
    </row>
    <row r="82" spans="1:21" ht="15.75" customHeight="1" x14ac:dyDescent="0.25">
      <c r="A82" s="81"/>
      <c r="B82" s="13"/>
      <c r="C82" s="197"/>
      <c r="D82" s="13"/>
      <c r="E82" s="197"/>
      <c r="F82" s="13"/>
      <c r="G82" s="197"/>
      <c r="H82" s="13"/>
      <c r="I82" s="13"/>
      <c r="J82" s="206"/>
      <c r="K82" s="206"/>
      <c r="L82" s="252"/>
      <c r="M82" s="266"/>
      <c r="N82" s="266"/>
      <c r="O82" s="13"/>
      <c r="P82" s="13"/>
      <c r="Q82" s="13"/>
      <c r="R82" s="13"/>
      <c r="S82" s="13"/>
      <c r="T82" s="13"/>
      <c r="U82" s="13"/>
    </row>
    <row r="83" spans="1:21" ht="15.75" customHeight="1" x14ac:dyDescent="0.25">
      <c r="A83" s="81"/>
      <c r="B83" s="13"/>
      <c r="C83" s="197"/>
      <c r="D83" s="13"/>
      <c r="E83" s="197"/>
      <c r="F83" s="13"/>
      <c r="G83" s="197"/>
      <c r="H83" s="13"/>
      <c r="I83" s="13"/>
      <c r="J83" s="206"/>
      <c r="K83" s="206"/>
      <c r="L83" s="252"/>
      <c r="M83" s="266"/>
      <c r="N83" s="266"/>
      <c r="O83" s="13"/>
      <c r="P83" s="13"/>
      <c r="Q83" s="13"/>
      <c r="R83" s="13"/>
      <c r="S83" s="13"/>
      <c r="T83" s="13"/>
      <c r="U83" s="13"/>
    </row>
    <row r="84" spans="1:21" ht="15.75" customHeight="1" x14ac:dyDescent="0.25">
      <c r="A84" s="81"/>
      <c r="B84" s="13"/>
      <c r="C84" s="197"/>
      <c r="D84" s="13"/>
      <c r="E84" s="197"/>
      <c r="F84" s="13"/>
      <c r="G84" s="197"/>
      <c r="H84" s="13"/>
      <c r="I84" s="13"/>
      <c r="J84" s="206"/>
      <c r="K84" s="206"/>
      <c r="L84" s="252"/>
      <c r="M84" s="266"/>
      <c r="N84" s="266"/>
      <c r="O84" s="13"/>
      <c r="P84" s="13"/>
      <c r="Q84" s="13"/>
      <c r="R84" s="13"/>
      <c r="S84" s="13"/>
      <c r="T84" s="13"/>
      <c r="U84" s="13"/>
    </row>
    <row r="85" spans="1:21" ht="15.75" customHeight="1" x14ac:dyDescent="0.25">
      <c r="A85" s="81"/>
      <c r="B85" s="13"/>
      <c r="C85" s="197"/>
      <c r="D85" s="13"/>
      <c r="E85" s="197"/>
      <c r="F85" s="13"/>
      <c r="G85" s="197"/>
      <c r="H85" s="13"/>
      <c r="I85" s="13"/>
      <c r="J85" s="206"/>
      <c r="K85" s="206"/>
      <c r="L85" s="253"/>
      <c r="M85" s="266"/>
      <c r="N85" s="266"/>
      <c r="O85" s="13"/>
      <c r="P85" s="13"/>
      <c r="Q85" s="13"/>
      <c r="R85" s="13"/>
      <c r="S85" s="13"/>
      <c r="T85" s="13"/>
      <c r="U85" s="13"/>
    </row>
    <row r="86" spans="1:21" ht="15.75" customHeight="1" x14ac:dyDescent="0.25">
      <c r="A86" s="81"/>
      <c r="B86" s="13"/>
      <c r="C86" s="197"/>
      <c r="D86" s="13"/>
      <c r="E86" s="197"/>
      <c r="F86" s="13"/>
      <c r="G86" s="197"/>
      <c r="H86" s="13"/>
      <c r="I86" s="13"/>
      <c r="J86" s="206"/>
      <c r="K86" s="206"/>
      <c r="L86" s="253"/>
      <c r="M86" s="266"/>
      <c r="N86" s="266"/>
      <c r="O86" s="13"/>
      <c r="P86" s="13"/>
      <c r="Q86" s="13"/>
      <c r="R86" s="13"/>
      <c r="S86" s="13"/>
      <c r="T86" s="13"/>
      <c r="U86" s="13"/>
    </row>
    <row r="87" spans="1:21" ht="15.75" customHeight="1" x14ac:dyDescent="0.25">
      <c r="A87" s="81"/>
      <c r="B87" s="13"/>
      <c r="C87" s="197"/>
      <c r="D87" s="13"/>
      <c r="E87" s="197"/>
      <c r="F87" s="13"/>
      <c r="G87" s="197"/>
      <c r="H87" s="13"/>
      <c r="I87" s="13"/>
      <c r="J87" s="206"/>
      <c r="K87" s="206"/>
      <c r="L87" s="13"/>
      <c r="M87" s="266"/>
      <c r="N87" s="266"/>
      <c r="O87" s="13"/>
      <c r="P87" s="13"/>
      <c r="Q87" s="13"/>
      <c r="R87" s="13"/>
      <c r="S87" s="13"/>
      <c r="T87" s="13"/>
      <c r="U87" s="13"/>
    </row>
    <row r="88" spans="1:21" ht="15.75" customHeight="1" x14ac:dyDescent="0.25">
      <c r="A88" s="81"/>
      <c r="B88" s="13"/>
      <c r="C88" s="197"/>
      <c r="D88" s="13"/>
      <c r="E88" s="197"/>
      <c r="F88" s="13"/>
      <c r="G88" s="197"/>
      <c r="H88" s="13"/>
      <c r="I88" s="13"/>
      <c r="J88" s="206"/>
      <c r="K88" s="206"/>
      <c r="L88" s="13"/>
      <c r="M88" s="266"/>
      <c r="N88" s="266"/>
      <c r="O88" s="13"/>
      <c r="P88" s="13"/>
      <c r="Q88" s="13"/>
      <c r="R88" s="13"/>
      <c r="S88" s="13"/>
      <c r="T88" s="13"/>
      <c r="U88" s="13"/>
    </row>
    <row r="89" spans="1:21" ht="15.75" customHeight="1" x14ac:dyDescent="0.25">
      <c r="A89" s="81"/>
      <c r="B89" s="13"/>
      <c r="C89" s="197"/>
      <c r="D89" s="13"/>
      <c r="E89" s="197"/>
      <c r="F89" s="13"/>
      <c r="G89" s="197"/>
      <c r="H89" s="13"/>
      <c r="I89" s="13"/>
      <c r="J89" s="206"/>
      <c r="K89" s="206"/>
      <c r="L89" s="13"/>
      <c r="M89" s="266"/>
      <c r="N89" s="266"/>
      <c r="O89" s="13"/>
      <c r="P89" s="13"/>
      <c r="Q89" s="13"/>
      <c r="R89" s="13"/>
      <c r="S89" s="13"/>
      <c r="T89" s="13"/>
      <c r="U89" s="13"/>
    </row>
    <row r="90" spans="1:21" ht="15.75" customHeight="1" x14ac:dyDescent="0.25">
      <c r="A90" s="81"/>
      <c r="B90" s="13"/>
      <c r="C90" s="197"/>
      <c r="D90" s="13"/>
      <c r="E90" s="197"/>
      <c r="F90" s="13"/>
      <c r="G90" s="197"/>
      <c r="H90" s="13"/>
      <c r="I90" s="13"/>
      <c r="J90" s="206"/>
      <c r="K90" s="206"/>
      <c r="L90" s="13"/>
      <c r="M90" s="266"/>
      <c r="N90" s="266"/>
      <c r="O90" s="13"/>
      <c r="S90" s="13"/>
      <c r="T90" s="13"/>
    </row>
    <row r="91" spans="1:21" ht="15.75" customHeight="1" x14ac:dyDescent="0.25">
      <c r="A91" s="81"/>
      <c r="B91" s="13"/>
      <c r="C91" s="197"/>
      <c r="D91" s="13"/>
      <c r="E91" s="197"/>
      <c r="F91" s="13"/>
      <c r="G91" s="197"/>
      <c r="H91" s="13"/>
      <c r="I91" s="13"/>
      <c r="J91" s="206"/>
      <c r="K91" s="206"/>
      <c r="L91" s="13"/>
      <c r="M91" s="266"/>
      <c r="N91" s="266"/>
      <c r="O91" s="13"/>
      <c r="S91" s="13"/>
      <c r="T91" s="13"/>
    </row>
    <row r="92" spans="1:21" ht="15.75" customHeight="1" x14ac:dyDescent="0.25">
      <c r="A92" s="81"/>
      <c r="B92" s="13"/>
      <c r="C92" s="197"/>
      <c r="D92" s="13"/>
      <c r="E92" s="197"/>
      <c r="F92" s="13"/>
      <c r="G92" s="197"/>
      <c r="H92" s="13"/>
      <c r="I92" s="13"/>
      <c r="J92" s="206"/>
      <c r="K92" s="206"/>
      <c r="L92" s="13"/>
      <c r="M92" s="266"/>
      <c r="N92" s="266"/>
      <c r="O92" s="13"/>
      <c r="S92" s="13"/>
      <c r="T92" s="13"/>
    </row>
    <row r="93" spans="1:21" ht="15.75" customHeight="1" x14ac:dyDescent="0.25">
      <c r="A93" s="81"/>
      <c r="B93" s="13"/>
      <c r="C93" s="197"/>
      <c r="D93" s="13"/>
      <c r="E93" s="197"/>
      <c r="F93" s="13"/>
      <c r="G93" s="197"/>
      <c r="H93" s="13"/>
      <c r="I93" s="13"/>
      <c r="J93" s="206"/>
      <c r="K93" s="206"/>
      <c r="L93" s="13"/>
      <c r="M93" s="266"/>
      <c r="N93" s="266"/>
      <c r="O93" s="13"/>
      <c r="S93" s="13"/>
      <c r="T93" s="13"/>
    </row>
    <row r="94" spans="1:21" ht="15.75" customHeight="1" x14ac:dyDescent="0.25">
      <c r="A94" s="81"/>
      <c r="B94" s="13"/>
      <c r="C94" s="197"/>
      <c r="D94" s="13"/>
      <c r="E94" s="197"/>
      <c r="F94" s="13"/>
      <c r="G94" s="197"/>
      <c r="H94" s="13"/>
      <c r="I94" s="13"/>
      <c r="J94" s="206"/>
      <c r="K94" s="206"/>
      <c r="L94" s="13"/>
      <c r="M94" s="266"/>
      <c r="N94" s="266"/>
      <c r="O94" s="13"/>
      <c r="S94" s="13"/>
      <c r="T94" s="13"/>
    </row>
    <row r="95" spans="1:21" ht="15.75" customHeight="1" x14ac:dyDescent="0.25">
      <c r="A95" s="81"/>
      <c r="B95" s="13"/>
      <c r="C95" s="197"/>
      <c r="D95" s="13"/>
      <c r="E95" s="197"/>
      <c r="F95" s="13"/>
      <c r="G95" s="197"/>
      <c r="H95" s="13"/>
      <c r="I95" s="13"/>
      <c r="J95" s="206"/>
      <c r="K95" s="206"/>
      <c r="L95" s="13"/>
      <c r="M95" s="266"/>
      <c r="N95" s="266"/>
      <c r="O95" s="13"/>
      <c r="S95" s="13"/>
      <c r="T95" s="13"/>
    </row>
    <row r="96" spans="1:21" ht="15.75" customHeight="1" x14ac:dyDescent="0.25">
      <c r="A96" s="81"/>
      <c r="B96" s="13"/>
      <c r="C96" s="197"/>
      <c r="D96" s="13"/>
      <c r="E96" s="197"/>
      <c r="F96" s="13"/>
      <c r="G96" s="197"/>
      <c r="H96" s="13"/>
      <c r="I96" s="13"/>
      <c r="J96" s="206"/>
      <c r="K96" s="206"/>
      <c r="L96" s="13"/>
      <c r="M96" s="266"/>
      <c r="N96" s="266"/>
      <c r="O96" s="13"/>
      <c r="S96" s="13"/>
      <c r="T96" s="13"/>
    </row>
    <row r="97" spans="1:20" ht="15.75" customHeight="1" x14ac:dyDescent="0.25">
      <c r="A97" s="81"/>
      <c r="B97" s="13"/>
      <c r="C97" s="197"/>
      <c r="D97" s="13"/>
      <c r="E97" s="197"/>
      <c r="F97" s="13"/>
      <c r="G97" s="197"/>
      <c r="H97" s="13"/>
      <c r="I97" s="13"/>
      <c r="J97" s="206"/>
      <c r="K97" s="206"/>
      <c r="L97" s="13"/>
      <c r="M97" s="266"/>
      <c r="N97" s="266"/>
      <c r="O97" s="13"/>
      <c r="S97" s="13"/>
      <c r="T97" s="13"/>
    </row>
    <row r="98" spans="1:20" ht="15.75" customHeight="1" x14ac:dyDescent="0.25">
      <c r="A98" s="81"/>
      <c r="B98" s="13"/>
      <c r="C98" s="197"/>
      <c r="D98" s="13"/>
      <c r="E98" s="197"/>
      <c r="F98" s="13"/>
      <c r="G98" s="197"/>
      <c r="H98" s="13"/>
      <c r="I98" s="13"/>
      <c r="J98" s="206"/>
      <c r="K98" s="206"/>
      <c r="L98" s="13"/>
      <c r="M98" s="266"/>
      <c r="N98" s="266"/>
      <c r="O98" s="13"/>
      <c r="S98" s="13"/>
      <c r="T98" s="13"/>
    </row>
    <row r="99" spans="1:20" ht="15.75" customHeight="1" x14ac:dyDescent="0.25">
      <c r="A99" s="81"/>
      <c r="B99" s="13"/>
      <c r="C99" s="197"/>
      <c r="D99" s="13"/>
      <c r="E99" s="197"/>
      <c r="F99" s="13"/>
      <c r="G99" s="197"/>
      <c r="H99" s="13"/>
      <c r="I99" s="13"/>
      <c r="J99" s="206"/>
      <c r="K99" s="206"/>
      <c r="L99" s="13"/>
      <c r="M99" s="266"/>
      <c r="N99" s="266"/>
      <c r="O99" s="13"/>
      <c r="S99" s="13"/>
      <c r="T99" s="13"/>
    </row>
    <row r="100" spans="1:20" ht="15.75" customHeight="1" x14ac:dyDescent="0.25">
      <c r="A100" s="81"/>
      <c r="B100" s="13"/>
      <c r="C100" s="197"/>
      <c r="D100" s="13"/>
      <c r="E100" s="197"/>
      <c r="F100" s="13"/>
      <c r="G100" s="197"/>
      <c r="H100" s="13"/>
      <c r="I100" s="13"/>
      <c r="J100" s="206"/>
      <c r="K100" s="206"/>
      <c r="L100" s="13"/>
      <c r="M100" s="266"/>
      <c r="N100" s="266"/>
      <c r="O100" s="13"/>
      <c r="S100" s="13"/>
      <c r="T100" s="13"/>
    </row>
    <row r="101" spans="1:20" ht="15.75" customHeight="1" x14ac:dyDescent="0.25">
      <c r="A101" s="81"/>
      <c r="B101" s="13"/>
      <c r="C101" s="197"/>
      <c r="D101" s="13"/>
      <c r="E101" s="197"/>
      <c r="F101" s="13"/>
      <c r="G101" s="197"/>
      <c r="H101" s="13"/>
      <c r="I101" s="13"/>
      <c r="J101" s="206"/>
      <c r="K101" s="206"/>
      <c r="L101" s="13"/>
      <c r="M101" s="266"/>
      <c r="N101" s="266"/>
      <c r="O101" s="13"/>
      <c r="S101" s="13"/>
      <c r="T101" s="13"/>
    </row>
    <row r="102" spans="1:20" ht="15.75" customHeight="1" x14ac:dyDescent="0.25">
      <c r="A102" s="81"/>
      <c r="B102" s="13"/>
      <c r="C102" s="197"/>
      <c r="D102" s="13"/>
      <c r="E102" s="197"/>
      <c r="F102" s="13"/>
      <c r="G102" s="197"/>
      <c r="H102" s="13"/>
      <c r="I102" s="13"/>
      <c r="J102" s="206"/>
      <c r="K102" s="206"/>
      <c r="L102" s="13"/>
      <c r="M102" s="266"/>
      <c r="N102" s="266"/>
      <c r="O102" s="13"/>
      <c r="S102" s="13"/>
      <c r="T102" s="13"/>
    </row>
    <row r="103" spans="1:20" ht="15.75" customHeight="1" x14ac:dyDescent="0.25">
      <c r="A103" s="81"/>
      <c r="B103" s="13"/>
      <c r="C103" s="197"/>
      <c r="D103" s="13"/>
      <c r="E103" s="197"/>
      <c r="F103" s="13"/>
      <c r="G103" s="197"/>
      <c r="H103" s="13"/>
      <c r="I103" s="13"/>
      <c r="J103" s="206"/>
      <c r="K103" s="206"/>
      <c r="L103" s="13"/>
      <c r="M103" s="266"/>
      <c r="N103" s="266"/>
      <c r="O103" s="13"/>
      <c r="S103" s="13"/>
      <c r="T103" s="13"/>
    </row>
    <row r="104" spans="1:20" ht="15.75" customHeight="1" x14ac:dyDescent="0.25">
      <c r="A104" s="81"/>
      <c r="B104" s="13"/>
      <c r="C104" s="197"/>
      <c r="D104" s="13"/>
      <c r="E104" s="197"/>
      <c r="F104" s="13"/>
      <c r="G104" s="197"/>
      <c r="H104" s="13"/>
      <c r="I104" s="13"/>
      <c r="J104" s="206"/>
      <c r="K104" s="206"/>
      <c r="L104" s="13"/>
      <c r="M104" s="266"/>
      <c r="N104" s="266"/>
      <c r="O104" s="13"/>
      <c r="S104" s="13"/>
      <c r="T104" s="13"/>
    </row>
    <row r="105" spans="1:20" ht="15.75" customHeight="1" x14ac:dyDescent="0.25">
      <c r="A105" s="81"/>
      <c r="B105" s="13"/>
      <c r="C105" s="197"/>
      <c r="D105" s="13"/>
      <c r="E105" s="197"/>
      <c r="F105" s="13"/>
      <c r="G105" s="197"/>
      <c r="H105" s="13"/>
      <c r="I105" s="13"/>
      <c r="J105" s="206"/>
      <c r="K105" s="206"/>
      <c r="L105" s="13"/>
      <c r="O105" s="13"/>
      <c r="S105" s="13"/>
      <c r="T105" s="13"/>
    </row>
    <row r="106" spans="1:20" ht="15.75" customHeight="1" x14ac:dyDescent="0.25">
      <c r="A106" s="81"/>
      <c r="B106" s="13"/>
      <c r="C106" s="197"/>
      <c r="D106" s="13"/>
      <c r="E106" s="197"/>
      <c r="F106" s="13"/>
      <c r="G106" s="197"/>
      <c r="H106" s="13"/>
      <c r="I106" s="13"/>
      <c r="J106" s="206"/>
      <c r="K106" s="206"/>
      <c r="L106" s="13"/>
    </row>
  </sheetData>
  <pageMargins left="0.25" right="0.25" top="0.75" bottom="0.5" header="0.3" footer="0.3"/>
  <pageSetup scale="71" fitToHeight="0" orientation="portrait" r:id="rId1"/>
  <rowBreaks count="1" manualBreakCount="1">
    <brk id="45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048574"/>
  <sheetViews>
    <sheetView workbookViewId="0">
      <selection activeCell="S17" sqref="S17"/>
    </sheetView>
  </sheetViews>
  <sheetFormatPr defaultColWidth="8.85546875" defaultRowHeight="15" x14ac:dyDescent="0.25"/>
  <cols>
    <col min="1" max="1" width="48.7109375" style="10" customWidth="1"/>
    <col min="2" max="2" width="20.85546875" style="10" bestFit="1" customWidth="1"/>
    <col min="3" max="3" width="11" hidden="1" customWidth="1"/>
    <col min="4" max="4" width="11.5703125" bestFit="1" customWidth="1"/>
    <col min="5" max="5" width="10" hidden="1" customWidth="1"/>
    <col min="6" max="6" width="9.85546875" hidden="1" customWidth="1"/>
    <col min="7" max="7" width="11.28515625" hidden="1" customWidth="1"/>
    <col min="8" max="8" width="11.140625" hidden="1" customWidth="1"/>
    <col min="9" max="9" width="10" hidden="1" customWidth="1"/>
    <col min="10" max="10" width="11.140625" hidden="1" customWidth="1"/>
    <col min="11" max="11" width="11" hidden="1" customWidth="1"/>
    <col min="12" max="12" width="12" hidden="1" customWidth="1"/>
    <col min="13" max="13" width="10.7109375" hidden="1" customWidth="1"/>
    <col min="14" max="14" width="9.28515625" hidden="1" customWidth="1"/>
    <col min="15" max="15" width="11.5703125" bestFit="1" customWidth="1"/>
  </cols>
  <sheetData>
    <row r="1" spans="1:15" ht="45" customHeight="1" x14ac:dyDescent="0.25">
      <c r="A1"/>
      <c r="C1" s="153">
        <v>1</v>
      </c>
      <c r="D1" s="131"/>
      <c r="E1" s="153">
        <v>3</v>
      </c>
      <c r="F1" s="131">
        <v>11</v>
      </c>
      <c r="G1" s="153">
        <v>12</v>
      </c>
      <c r="H1" s="131">
        <v>13</v>
      </c>
      <c r="I1" s="153">
        <v>14</v>
      </c>
      <c r="J1" s="131">
        <v>15</v>
      </c>
      <c r="K1" s="153">
        <v>5</v>
      </c>
      <c r="L1" s="131">
        <v>7</v>
      </c>
      <c r="M1" s="153">
        <v>9</v>
      </c>
      <c r="N1" s="131">
        <v>10</v>
      </c>
      <c r="O1" s="131"/>
    </row>
    <row r="2" spans="1:15" ht="45" customHeight="1" x14ac:dyDescent="0.25">
      <c r="B2" s="88"/>
      <c r="C2" s="146" t="s">
        <v>272</v>
      </c>
      <c r="D2" s="142" t="s">
        <v>323</v>
      </c>
      <c r="E2" s="146" t="s">
        <v>273</v>
      </c>
      <c r="F2" s="142" t="s">
        <v>270</v>
      </c>
      <c r="G2" s="146" t="s">
        <v>269</v>
      </c>
      <c r="H2" s="142" t="s">
        <v>268</v>
      </c>
      <c r="I2" s="146" t="s">
        <v>267</v>
      </c>
      <c r="J2" s="142" t="s">
        <v>266</v>
      </c>
      <c r="K2" s="146" t="s">
        <v>265</v>
      </c>
      <c r="L2" s="142" t="s">
        <v>274</v>
      </c>
      <c r="M2" s="146" t="s">
        <v>9</v>
      </c>
      <c r="N2" s="142" t="s">
        <v>275</v>
      </c>
      <c r="O2" s="143" t="s">
        <v>303</v>
      </c>
    </row>
    <row r="3" spans="1:15" ht="20.25" x14ac:dyDescent="0.25">
      <c r="A3" s="88" t="s">
        <v>310</v>
      </c>
      <c r="B3" s="81"/>
      <c r="C3" s="147"/>
      <c r="D3" s="13"/>
      <c r="E3" s="147"/>
      <c r="F3" s="13"/>
      <c r="G3" s="147"/>
      <c r="H3" s="13"/>
      <c r="I3" s="147"/>
      <c r="J3" s="13"/>
      <c r="K3" s="147"/>
      <c r="L3" s="13"/>
      <c r="M3" s="147"/>
      <c r="N3" s="13"/>
      <c r="O3" s="57"/>
    </row>
    <row r="4" spans="1:15" ht="15.75" x14ac:dyDescent="0.25">
      <c r="A4" s="81"/>
      <c r="C4" s="148"/>
      <c r="D4" s="15"/>
      <c r="E4" s="148"/>
      <c r="F4" s="15"/>
      <c r="G4" s="148"/>
      <c r="H4" s="15"/>
      <c r="I4" s="148"/>
      <c r="J4" s="15"/>
      <c r="K4" s="148"/>
      <c r="L4" s="15"/>
      <c r="M4" s="148"/>
      <c r="N4" s="15"/>
      <c r="O4" s="23"/>
    </row>
    <row r="5" spans="1:15" ht="15.75" x14ac:dyDescent="0.25">
      <c r="A5" s="151" t="s">
        <v>311</v>
      </c>
      <c r="B5" s="151" t="s">
        <v>312</v>
      </c>
      <c r="C5" s="149"/>
      <c r="O5" s="23"/>
    </row>
    <row r="6" spans="1:15" ht="15.75" x14ac:dyDescent="0.25">
      <c r="A6" s="75" t="s">
        <v>30</v>
      </c>
      <c r="B6" s="81" t="s">
        <v>313</v>
      </c>
      <c r="C6" s="149"/>
      <c r="D6" s="18" t="e">
        <f>Sheet1!#REF!</f>
        <v>#REF!</v>
      </c>
      <c r="E6" s="149"/>
      <c r="F6" s="22"/>
      <c r="G6" s="149"/>
      <c r="H6" s="22"/>
      <c r="I6" s="149"/>
      <c r="J6" s="22"/>
      <c r="K6" s="149"/>
      <c r="L6" s="22"/>
      <c r="M6" s="149"/>
      <c r="N6" s="22"/>
      <c r="O6" s="21" t="e">
        <f>SUM(C6:N6)</f>
        <v>#REF!</v>
      </c>
    </row>
    <row r="7" spans="1:15" ht="15.75" x14ac:dyDescent="0.25">
      <c r="A7" s="75" t="s">
        <v>31</v>
      </c>
      <c r="B7" s="81" t="s">
        <v>314</v>
      </c>
      <c r="C7" s="149"/>
      <c r="D7" s="18" t="e">
        <f>Sheet1!#REF!</f>
        <v>#REF!</v>
      </c>
      <c r="E7" s="149"/>
      <c r="F7" s="22"/>
      <c r="G7" s="149"/>
      <c r="H7" s="22"/>
      <c r="I7" s="149"/>
      <c r="J7" s="22"/>
      <c r="K7" s="149"/>
      <c r="L7" s="22"/>
      <c r="M7" s="149"/>
      <c r="N7" s="22"/>
      <c r="O7" s="21" t="e">
        <f t="shared" ref="O7:O14" si="0">SUM(C7:N7)</f>
        <v>#REF!</v>
      </c>
    </row>
    <row r="8" spans="1:15" ht="15.75" x14ac:dyDescent="0.25">
      <c r="A8" s="75" t="s">
        <v>32</v>
      </c>
      <c r="B8" s="75" t="s">
        <v>315</v>
      </c>
      <c r="C8" s="149"/>
      <c r="D8" s="18">
        <f>Sheet1!C45</f>
        <v>5000</v>
      </c>
      <c r="E8" s="149"/>
      <c r="F8" s="22"/>
      <c r="G8" s="149"/>
      <c r="H8" s="22"/>
      <c r="I8" s="149"/>
      <c r="J8" s="22"/>
      <c r="K8" s="149"/>
      <c r="L8" s="22"/>
      <c r="M8" s="149"/>
      <c r="N8" s="22"/>
      <c r="O8" s="21">
        <f t="shared" si="0"/>
        <v>5000</v>
      </c>
    </row>
    <row r="9" spans="1:15" ht="15.75" x14ac:dyDescent="0.25">
      <c r="A9" s="75" t="s">
        <v>33</v>
      </c>
      <c r="B9" s="75" t="s">
        <v>316</v>
      </c>
      <c r="C9" s="149"/>
      <c r="D9" s="18" t="e">
        <f>Sheet1!#REF!</f>
        <v>#REF!</v>
      </c>
      <c r="E9" s="149"/>
      <c r="F9" s="22"/>
      <c r="G9" s="149"/>
      <c r="H9" s="22"/>
      <c r="I9" s="149"/>
      <c r="J9" s="22"/>
      <c r="K9" s="149"/>
      <c r="L9" s="22"/>
      <c r="M9" s="149"/>
      <c r="N9" s="22"/>
      <c r="O9" s="21" t="e">
        <f t="shared" si="0"/>
        <v>#REF!</v>
      </c>
    </row>
    <row r="10" spans="1:15" ht="15.75" x14ac:dyDescent="0.25">
      <c r="A10" s="75" t="s">
        <v>46</v>
      </c>
      <c r="B10" s="75" t="s">
        <v>317</v>
      </c>
      <c r="C10" s="149"/>
      <c r="D10" s="18">
        <f>Sheet1!C46</f>
        <v>1360</v>
      </c>
      <c r="E10" s="149"/>
      <c r="F10" s="22"/>
      <c r="G10" s="149"/>
      <c r="H10" s="22"/>
      <c r="I10" s="149"/>
      <c r="J10" s="22"/>
      <c r="K10" s="149"/>
      <c r="L10" s="22"/>
      <c r="M10" s="149"/>
      <c r="N10" s="22"/>
      <c r="O10" s="21">
        <f t="shared" si="0"/>
        <v>1360</v>
      </c>
    </row>
    <row r="11" spans="1:15" ht="15.75" x14ac:dyDescent="0.25">
      <c r="A11" s="75" t="s">
        <v>34</v>
      </c>
      <c r="B11" s="75" t="s">
        <v>318</v>
      </c>
      <c r="C11" s="149"/>
      <c r="D11" s="18" t="e">
        <f>Sheet1!#REF!</f>
        <v>#REF!</v>
      </c>
      <c r="E11" s="149"/>
      <c r="F11" s="22"/>
      <c r="G11" s="149"/>
      <c r="H11" s="22"/>
      <c r="I11" s="149"/>
      <c r="J11" s="22"/>
      <c r="K11" s="149"/>
      <c r="L11" s="22"/>
      <c r="M11" s="149"/>
      <c r="N11" s="22"/>
      <c r="O11" s="21" t="e">
        <f t="shared" si="0"/>
        <v>#REF!</v>
      </c>
    </row>
    <row r="12" spans="1:15" ht="15.75" x14ac:dyDescent="0.25">
      <c r="A12" s="75" t="s">
        <v>319</v>
      </c>
      <c r="B12" s="75" t="s">
        <v>320</v>
      </c>
      <c r="C12" s="149"/>
      <c r="D12" s="18" t="e">
        <f>Sheet1!#REF!</f>
        <v>#REF!</v>
      </c>
      <c r="E12" s="149"/>
      <c r="F12" s="22"/>
      <c r="G12" s="149"/>
      <c r="H12" s="22"/>
      <c r="I12" s="149"/>
      <c r="J12" s="22"/>
      <c r="K12" s="149"/>
      <c r="L12" s="22"/>
      <c r="M12" s="149"/>
      <c r="N12" s="22"/>
      <c r="O12" s="21" t="e">
        <f t="shared" si="0"/>
        <v>#REF!</v>
      </c>
    </row>
    <row r="13" spans="1:15" ht="15.75" customHeight="1" x14ac:dyDescent="0.25">
      <c r="A13" s="257" t="s">
        <v>288</v>
      </c>
      <c r="B13" s="75" t="s">
        <v>321</v>
      </c>
      <c r="C13" s="149"/>
      <c r="D13" s="18">
        <f>Sheet1!C49</f>
        <v>8000</v>
      </c>
      <c r="E13" s="149"/>
      <c r="F13" s="22"/>
      <c r="G13" s="149"/>
      <c r="H13" s="22"/>
      <c r="I13" s="149"/>
      <c r="J13" s="22"/>
      <c r="K13" s="149"/>
      <c r="L13" s="22"/>
      <c r="M13" s="149"/>
      <c r="N13" s="22"/>
      <c r="O13" s="21">
        <f t="shared" si="0"/>
        <v>8000</v>
      </c>
    </row>
    <row r="14" spans="1:15" ht="15.75" customHeight="1" x14ac:dyDescent="0.25">
      <c r="A14" s="75" t="s">
        <v>143</v>
      </c>
      <c r="B14" s="75" t="s">
        <v>322</v>
      </c>
      <c r="C14" s="155">
        <f t="shared" ref="C14" si="1">SUM(C5:C13)</f>
        <v>0</v>
      </c>
      <c r="D14" s="353" t="e">
        <f>Sheet1!#REF!</f>
        <v>#REF!</v>
      </c>
      <c r="E14" s="354"/>
      <c r="F14" s="355"/>
      <c r="G14" s="354"/>
      <c r="H14" s="355"/>
      <c r="I14" s="354"/>
      <c r="J14" s="355"/>
      <c r="K14" s="354"/>
      <c r="L14" s="355"/>
      <c r="M14" s="354"/>
      <c r="N14" s="355"/>
      <c r="O14" s="21" t="e">
        <f t="shared" si="0"/>
        <v>#REF!</v>
      </c>
    </row>
    <row r="15" spans="1:15" ht="18.75" thickBot="1" x14ac:dyDescent="0.3">
      <c r="A15" s="79" t="s">
        <v>35</v>
      </c>
      <c r="D15" s="356" t="e">
        <f t="shared" ref="D15:K15" si="2">SUM(D6:D14)</f>
        <v>#REF!</v>
      </c>
      <c r="E15" s="357">
        <f t="shared" si="2"/>
        <v>0</v>
      </c>
      <c r="F15" s="357">
        <f t="shared" si="2"/>
        <v>0</v>
      </c>
      <c r="G15" s="357">
        <f t="shared" si="2"/>
        <v>0</v>
      </c>
      <c r="H15" s="357">
        <f t="shared" si="2"/>
        <v>0</v>
      </c>
      <c r="I15" s="357">
        <f t="shared" si="2"/>
        <v>0</v>
      </c>
      <c r="J15" s="357">
        <f t="shared" si="2"/>
        <v>0</v>
      </c>
      <c r="K15" s="357">
        <f t="shared" si="2"/>
        <v>0</v>
      </c>
      <c r="L15" s="357"/>
      <c r="M15" s="357">
        <f t="shared" ref="M15:N15" si="3">SUM(M6:M14)</f>
        <v>0</v>
      </c>
      <c r="N15" s="357">
        <f t="shared" si="3"/>
        <v>0</v>
      </c>
      <c r="O15" s="357" t="e">
        <f>SUM(O6:O14)</f>
        <v>#REF!</v>
      </c>
    </row>
    <row r="16" spans="1:15" ht="15.75" thickTop="1" x14ac:dyDescent="0.25"/>
    <row r="1048574" spans="4:4" x14ac:dyDescent="0.25">
      <c r="D1048574" s="352" t="e">
        <f>SUM(D6:D1048573)</f>
        <v>#REF!</v>
      </c>
    </row>
  </sheetData>
  <pageMargins left="0.7" right="0.7" top="0.75" bottom="0.75" header="0.3" footer="0.3"/>
  <pageSetup scale="97" fitToHeight="0" orientation="portrait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34"/>
  <sheetViews>
    <sheetView workbookViewId="0">
      <selection activeCell="B1" sqref="B1"/>
    </sheetView>
  </sheetViews>
  <sheetFormatPr defaultColWidth="8.85546875" defaultRowHeight="15" x14ac:dyDescent="0.25"/>
  <cols>
    <col min="1" max="1" width="48.5703125" style="10" bestFit="1" customWidth="1"/>
    <col min="2" max="2" width="48.5703125" style="10" customWidth="1"/>
    <col min="3" max="3" width="10.7109375" customWidth="1"/>
    <col min="4" max="4" width="11.85546875" customWidth="1"/>
    <col min="5" max="5" width="12" customWidth="1"/>
    <col min="6" max="6" width="29.85546875" customWidth="1"/>
  </cols>
  <sheetData>
    <row r="1" spans="1:5" ht="84.95" customHeight="1" x14ac:dyDescent="0.25">
      <c r="A1" s="152"/>
      <c r="B1" s="152"/>
      <c r="C1" s="141"/>
      <c r="D1" s="141"/>
      <c r="E1" s="141"/>
    </row>
    <row r="2" spans="1:5" ht="15.75" x14ac:dyDescent="0.25">
      <c r="A2" s="73"/>
      <c r="B2" s="73"/>
      <c r="C2" s="369" t="s">
        <v>333</v>
      </c>
      <c r="D2" s="369"/>
      <c r="E2" s="368"/>
    </row>
    <row r="3" spans="1:5" s="144" customFormat="1" ht="51" customHeight="1" x14ac:dyDescent="0.25">
      <c r="A3" s="150" t="s">
        <v>434</v>
      </c>
      <c r="B3" s="150"/>
      <c r="C3" s="142" t="s">
        <v>263</v>
      </c>
      <c r="D3" s="358" t="s">
        <v>454</v>
      </c>
      <c r="E3" s="143" t="s">
        <v>402</v>
      </c>
    </row>
    <row r="4" spans="1:5" ht="15.75" x14ac:dyDescent="0.25">
      <c r="A4" s="98" t="s">
        <v>44</v>
      </c>
      <c r="B4" s="98" t="s">
        <v>312</v>
      </c>
      <c r="C4" s="22"/>
      <c r="D4" s="37"/>
      <c r="E4" s="38"/>
    </row>
    <row r="5" spans="1:5" ht="15.75" x14ac:dyDescent="0.25">
      <c r="A5" s="75" t="s">
        <v>17</v>
      </c>
      <c r="B5" s="75" t="s">
        <v>324</v>
      </c>
      <c r="C5" s="273">
        <f>+Sheet1!C115</f>
        <v>2250</v>
      </c>
      <c r="D5" s="37"/>
      <c r="E5" s="21">
        <f>SUM(C5:D5)</f>
        <v>2250</v>
      </c>
    </row>
    <row r="6" spans="1:5" ht="15.75" x14ac:dyDescent="0.25">
      <c r="A6" s="75" t="s">
        <v>227</v>
      </c>
      <c r="B6" s="75" t="s">
        <v>325</v>
      </c>
      <c r="C6" s="273">
        <f>+Sheet1!C116</f>
        <v>0</v>
      </c>
      <c r="D6" s="36">
        <v>14900</v>
      </c>
      <c r="E6" s="21">
        <f t="shared" ref="E6:E7" si="0">SUM(C6:D6)</f>
        <v>14900</v>
      </c>
    </row>
    <row r="7" spans="1:5" ht="15.75" x14ac:dyDescent="0.25">
      <c r="A7" s="75" t="s">
        <v>45</v>
      </c>
      <c r="B7" s="75" t="s">
        <v>326</v>
      </c>
      <c r="C7" s="273">
        <f>+Sheet1!C117</f>
        <v>800</v>
      </c>
      <c r="D7" s="37"/>
      <c r="E7" s="21">
        <f t="shared" si="0"/>
        <v>800</v>
      </c>
    </row>
    <row r="8" spans="1:5" ht="15.75" x14ac:dyDescent="0.25">
      <c r="A8" s="82" t="s">
        <v>47</v>
      </c>
      <c r="B8" s="82"/>
      <c r="C8" s="363">
        <f t="shared" ref="C8:D8" si="1">SUM(C5:C7)</f>
        <v>3050</v>
      </c>
      <c r="D8" s="364">
        <f t="shared" si="1"/>
        <v>14900</v>
      </c>
      <c r="E8" s="365">
        <f>SUM(E5:E7)</f>
        <v>17950</v>
      </c>
    </row>
    <row r="9" spans="1:5" ht="15.75" x14ac:dyDescent="0.25">
      <c r="A9" s="99"/>
      <c r="B9" s="99"/>
      <c r="C9" s="274"/>
      <c r="D9" s="35"/>
      <c r="E9" s="14"/>
    </row>
    <row r="10" spans="1:5" ht="15.75" x14ac:dyDescent="0.25">
      <c r="A10" s="76" t="s">
        <v>48</v>
      </c>
      <c r="B10" s="76"/>
      <c r="C10" s="275"/>
      <c r="D10" s="52"/>
      <c r="E10" s="54"/>
    </row>
    <row r="11" spans="1:5" ht="15.75" x14ac:dyDescent="0.25">
      <c r="A11" s="75" t="s">
        <v>49</v>
      </c>
      <c r="B11" s="75" t="s">
        <v>327</v>
      </c>
      <c r="C11" s="273">
        <f>+Sheet1!C121</f>
        <v>9000</v>
      </c>
      <c r="D11" s="37"/>
      <c r="E11" s="21">
        <f t="shared" ref="E11:E13" si="2">SUM(C11:D11)</f>
        <v>9000</v>
      </c>
    </row>
    <row r="12" spans="1:5" ht="15.75" x14ac:dyDescent="0.25">
      <c r="A12" s="75" t="s">
        <v>50</v>
      </c>
      <c r="B12" s="75" t="s">
        <v>328</v>
      </c>
      <c r="C12" s="273">
        <f>+Sheet1!C122</f>
        <v>9000</v>
      </c>
      <c r="D12" s="37"/>
      <c r="E12" s="21">
        <f t="shared" si="2"/>
        <v>9000</v>
      </c>
    </row>
    <row r="13" spans="1:5" ht="15.75" x14ac:dyDescent="0.25">
      <c r="A13" s="75" t="s">
        <v>51</v>
      </c>
      <c r="B13" s="75" t="s">
        <v>329</v>
      </c>
      <c r="C13" s="273">
        <f>+Sheet1!C123</f>
        <v>9000</v>
      </c>
      <c r="D13" s="37"/>
      <c r="E13" s="21">
        <f t="shared" si="2"/>
        <v>9000</v>
      </c>
    </row>
    <row r="14" spans="1:5" ht="15.75" x14ac:dyDescent="0.25">
      <c r="A14" s="79" t="s">
        <v>52</v>
      </c>
      <c r="B14" s="79"/>
      <c r="C14" s="366">
        <f t="shared" ref="C14:D14" si="3">SUM(C11:C13)</f>
        <v>27000</v>
      </c>
      <c r="D14" s="367">
        <f t="shared" si="3"/>
        <v>0</v>
      </c>
      <c r="E14" s="365">
        <f>SUM(E11:E13)</f>
        <v>27000</v>
      </c>
    </row>
    <row r="15" spans="1:5" ht="15.75" x14ac:dyDescent="0.25">
      <c r="A15" s="85"/>
      <c r="B15" s="85"/>
      <c r="C15" s="359"/>
      <c r="D15" s="48"/>
      <c r="E15" s="46"/>
    </row>
    <row r="16" spans="1:5" ht="15.75" x14ac:dyDescent="0.25">
      <c r="A16" s="76" t="s">
        <v>53</v>
      </c>
      <c r="B16" s="76"/>
      <c r="C16" s="275"/>
      <c r="D16" s="52"/>
      <c r="E16" s="54"/>
    </row>
    <row r="17" spans="1:5" ht="15.75" x14ac:dyDescent="0.25">
      <c r="A17" s="75" t="s">
        <v>54</v>
      </c>
      <c r="B17" s="75" t="s">
        <v>330</v>
      </c>
      <c r="C17" s="273">
        <f>+Sheet1!C127</f>
        <v>1400</v>
      </c>
      <c r="D17" s="37"/>
      <c r="E17" s="21">
        <f>SUM(C17:D17)</f>
        <v>1400</v>
      </c>
    </row>
    <row r="18" spans="1:5" ht="15.75" x14ac:dyDescent="0.25">
      <c r="A18" s="79" t="s">
        <v>55</v>
      </c>
      <c r="B18" s="79"/>
      <c r="C18" s="366">
        <f t="shared" ref="C18" si="4">SUM(C17:C17)</f>
        <v>1400</v>
      </c>
      <c r="D18" s="367">
        <f t="shared" ref="D18" si="5">SUM(D17:D17)</f>
        <v>0</v>
      </c>
      <c r="E18" s="365">
        <f>SUM(C18:D18)</f>
        <v>1400</v>
      </c>
    </row>
    <row r="20" spans="1:5" ht="16.5" thickBot="1" x14ac:dyDescent="0.3">
      <c r="A20" s="360" t="s">
        <v>331</v>
      </c>
      <c r="C20" s="361">
        <f>+C18+C14+C8</f>
        <v>31450</v>
      </c>
      <c r="D20" s="361">
        <f>+D18+D14+D8</f>
        <v>14900</v>
      </c>
      <c r="E20" s="362">
        <f>+E18+E14+E8</f>
        <v>46350</v>
      </c>
    </row>
    <row r="21" spans="1:5" ht="15.75" thickTop="1" x14ac:dyDescent="0.25"/>
    <row r="23" spans="1:5" ht="15.75" x14ac:dyDescent="0.25">
      <c r="A23" s="447" t="s">
        <v>455</v>
      </c>
      <c r="B23" s="447" t="s">
        <v>457</v>
      </c>
      <c r="C23" s="448" t="s">
        <v>111</v>
      </c>
    </row>
    <row r="24" spans="1:5" ht="15.75" x14ac:dyDescent="0.25">
      <c r="A24" s="81"/>
      <c r="B24" s="81"/>
      <c r="C24" s="273"/>
    </row>
    <row r="25" spans="1:5" ht="15.75" x14ac:dyDescent="0.25">
      <c r="A25" s="81" t="s">
        <v>456</v>
      </c>
      <c r="B25" s="81" t="s">
        <v>458</v>
      </c>
      <c r="C25" s="273">
        <v>1826</v>
      </c>
    </row>
    <row r="26" spans="1:5" ht="15.75" x14ac:dyDescent="0.25">
      <c r="A26" s="81" t="s">
        <v>459</v>
      </c>
      <c r="B26" s="81" t="s">
        <v>458</v>
      </c>
      <c r="C26" s="273">
        <v>8048</v>
      </c>
    </row>
    <row r="27" spans="1:5" ht="15.75" x14ac:dyDescent="0.25">
      <c r="A27" s="81" t="s">
        <v>461</v>
      </c>
      <c r="B27" s="81" t="s">
        <v>458</v>
      </c>
      <c r="C27" s="273">
        <v>5025.57</v>
      </c>
    </row>
    <row r="28" spans="1:5" ht="15.75" x14ac:dyDescent="0.25">
      <c r="A28" s="81" t="s">
        <v>460</v>
      </c>
      <c r="B28" s="81" t="s">
        <v>53</v>
      </c>
      <c r="C28" s="273">
        <v>16391.509999999998</v>
      </c>
    </row>
    <row r="29" spans="1:5" ht="15.75" x14ac:dyDescent="0.25">
      <c r="A29" s="81" t="s">
        <v>462</v>
      </c>
      <c r="B29" s="81" t="s">
        <v>463</v>
      </c>
      <c r="C29" s="273">
        <v>139.51</v>
      </c>
    </row>
    <row r="30" spans="1:5" ht="15.75" x14ac:dyDescent="0.25">
      <c r="A30" s="81" t="s">
        <v>464</v>
      </c>
      <c r="B30" s="81" t="s">
        <v>53</v>
      </c>
      <c r="C30" s="273">
        <v>34.71</v>
      </c>
    </row>
    <row r="31" spans="1:5" ht="15.75" x14ac:dyDescent="0.25">
      <c r="A31" s="81" t="s">
        <v>465</v>
      </c>
      <c r="B31" s="81" t="s">
        <v>466</v>
      </c>
      <c r="C31" s="273">
        <v>62464.56</v>
      </c>
    </row>
    <row r="32" spans="1:5" ht="15.75" x14ac:dyDescent="0.25">
      <c r="A32" s="81" t="s">
        <v>467</v>
      </c>
      <c r="B32" s="81" t="s">
        <v>466</v>
      </c>
      <c r="C32" s="273">
        <v>154905.76999999999</v>
      </c>
    </row>
    <row r="33" spans="1:3" ht="15.75" x14ac:dyDescent="0.25">
      <c r="A33" s="81" t="s">
        <v>468</v>
      </c>
      <c r="B33" s="81" t="s">
        <v>466</v>
      </c>
      <c r="C33" s="273">
        <v>10200</v>
      </c>
    </row>
    <row r="34" spans="1:3" ht="15.75" x14ac:dyDescent="0.25">
      <c r="A34" s="81"/>
      <c r="B34" s="81"/>
    </row>
  </sheetData>
  <pageMargins left="0.25" right="0.25" top="0.75" bottom="0.75" header="0.3" footer="0.3"/>
  <pageSetup scale="83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15"/>
  <sheetViews>
    <sheetView workbookViewId="0">
      <selection activeCell="F18" sqref="F18"/>
    </sheetView>
  </sheetViews>
  <sheetFormatPr defaultColWidth="8.85546875" defaultRowHeight="15" x14ac:dyDescent="0.25"/>
  <cols>
    <col min="1" max="2" width="40" style="10" customWidth="1"/>
    <col min="3" max="3" width="11.28515625" customWidth="1"/>
    <col min="4" max="5" width="10.42578125" customWidth="1"/>
    <col min="6" max="6" width="10.85546875" customWidth="1"/>
  </cols>
  <sheetData>
    <row r="1" spans="1:8" ht="84.95" customHeight="1" x14ac:dyDescent="0.25">
      <c r="C1" s="1"/>
      <c r="D1" s="1"/>
      <c r="E1" s="1"/>
      <c r="F1" s="1"/>
    </row>
    <row r="2" spans="1:8" ht="15.75" x14ac:dyDescent="0.25">
      <c r="A2" s="73"/>
      <c r="B2" s="73"/>
      <c r="C2" s="377" t="s">
        <v>332</v>
      </c>
      <c r="D2" s="378"/>
      <c r="E2" s="378"/>
      <c r="F2" s="1"/>
    </row>
    <row r="3" spans="1:8" ht="31.5" x14ac:dyDescent="0.25">
      <c r="A3" s="88" t="s">
        <v>435</v>
      </c>
      <c r="B3" s="88"/>
      <c r="C3" s="370" t="s">
        <v>272</v>
      </c>
      <c r="D3" s="371" t="s">
        <v>263</v>
      </c>
      <c r="E3" s="142" t="s">
        <v>344</v>
      </c>
      <c r="F3" s="143" t="s">
        <v>303</v>
      </c>
      <c r="H3" s="145"/>
    </row>
    <row r="4" spans="1:8" ht="15.75" x14ac:dyDescent="0.25">
      <c r="A4" s="81"/>
      <c r="B4" s="81"/>
      <c r="C4" s="13"/>
      <c r="D4" s="372"/>
      <c r="E4" s="13"/>
      <c r="F4" s="13"/>
      <c r="G4" s="13"/>
    </row>
    <row r="5" spans="1:8" ht="15.75" x14ac:dyDescent="0.25">
      <c r="A5" s="76" t="s">
        <v>153</v>
      </c>
      <c r="B5" s="76" t="s">
        <v>312</v>
      </c>
      <c r="C5" s="277"/>
      <c r="D5" s="373"/>
      <c r="E5" s="277"/>
      <c r="F5" s="53"/>
      <c r="G5" s="13"/>
    </row>
    <row r="6" spans="1:8" ht="15.75" x14ac:dyDescent="0.25">
      <c r="A6" s="77" t="s">
        <v>119</v>
      </c>
      <c r="B6" s="77" t="s">
        <v>335</v>
      </c>
      <c r="C6" s="273">
        <f>+Sheet1!B80</f>
        <v>1200</v>
      </c>
      <c r="D6" s="374"/>
      <c r="E6" s="242"/>
      <c r="F6" s="21">
        <f>SUM(C6:E6)</f>
        <v>1200</v>
      </c>
      <c r="G6" s="13"/>
    </row>
    <row r="7" spans="1:8" ht="15.75" x14ac:dyDescent="0.25">
      <c r="A7" s="77" t="s">
        <v>136</v>
      </c>
      <c r="B7" s="77" t="s">
        <v>345</v>
      </c>
      <c r="C7" s="273">
        <f>+Sheet1!B81</f>
        <v>5000</v>
      </c>
      <c r="D7" s="374"/>
      <c r="E7" s="273">
        <f>+Sheet1!G81</f>
        <v>4801</v>
      </c>
      <c r="F7" s="21">
        <f t="shared" ref="F7:F13" si="0">SUM(C7:E7)</f>
        <v>9801</v>
      </c>
      <c r="G7" s="13"/>
    </row>
    <row r="8" spans="1:8" ht="15.75" x14ac:dyDescent="0.25">
      <c r="A8" s="77" t="s">
        <v>137</v>
      </c>
      <c r="B8" s="77" t="s">
        <v>336</v>
      </c>
      <c r="C8" s="273">
        <f>+Sheet1!B82</f>
        <v>400</v>
      </c>
      <c r="D8" s="374"/>
      <c r="E8" s="242"/>
      <c r="F8" s="21">
        <f t="shared" si="0"/>
        <v>400</v>
      </c>
      <c r="G8" s="13"/>
    </row>
    <row r="9" spans="1:8" ht="15.75" x14ac:dyDescent="0.25">
      <c r="A9" s="77" t="s">
        <v>138</v>
      </c>
      <c r="B9" s="77" t="s">
        <v>337</v>
      </c>
      <c r="C9" s="273">
        <f>+Sheet1!B83</f>
        <v>400</v>
      </c>
      <c r="D9" s="374"/>
      <c r="E9" s="242"/>
      <c r="F9" s="21">
        <f t="shared" si="0"/>
        <v>400</v>
      </c>
      <c r="G9" s="13"/>
    </row>
    <row r="10" spans="1:8" ht="15.75" x14ac:dyDescent="0.25">
      <c r="A10" s="77" t="s">
        <v>334</v>
      </c>
      <c r="B10" s="77" t="s">
        <v>338</v>
      </c>
      <c r="C10" s="273">
        <f>+Sheet1!B84</f>
        <v>700</v>
      </c>
      <c r="D10" s="374"/>
      <c r="E10" s="242"/>
      <c r="F10" s="21">
        <f t="shared" si="0"/>
        <v>700</v>
      </c>
      <c r="G10" s="13"/>
    </row>
    <row r="11" spans="1:8" ht="15.75" x14ac:dyDescent="0.25">
      <c r="A11" s="77" t="s">
        <v>340</v>
      </c>
      <c r="B11" s="77" t="s">
        <v>339</v>
      </c>
      <c r="C11" s="273">
        <f>+Sheet1!B85</f>
        <v>400</v>
      </c>
      <c r="D11" s="374"/>
      <c r="E11" s="242"/>
      <c r="F11" s="21">
        <f t="shared" si="0"/>
        <v>400</v>
      </c>
      <c r="G11" s="13"/>
    </row>
    <row r="12" spans="1:8" ht="15.75" x14ac:dyDescent="0.25">
      <c r="A12" s="77" t="s">
        <v>37</v>
      </c>
      <c r="B12" s="77" t="s">
        <v>341</v>
      </c>
      <c r="C12" s="273">
        <f>+Sheet1!B86</f>
        <v>400</v>
      </c>
      <c r="D12" s="374"/>
      <c r="E12" s="242"/>
      <c r="F12" s="21">
        <f t="shared" si="0"/>
        <v>400</v>
      </c>
      <c r="G12" s="13"/>
    </row>
    <row r="13" spans="1:8" ht="15.75" x14ac:dyDescent="0.25">
      <c r="A13" s="77" t="s">
        <v>139</v>
      </c>
      <c r="B13" s="77" t="s">
        <v>342</v>
      </c>
      <c r="C13" s="273">
        <f>+Sheet1!B87</f>
        <v>200</v>
      </c>
      <c r="D13" s="374"/>
      <c r="E13" s="242"/>
      <c r="F13" s="21">
        <f t="shared" si="0"/>
        <v>200</v>
      </c>
      <c r="G13" s="13"/>
    </row>
    <row r="14" spans="1:8" ht="17.100000000000001" customHeight="1" thickBot="1" x14ac:dyDescent="0.3">
      <c r="A14" s="375" t="s">
        <v>38</v>
      </c>
      <c r="B14" s="375"/>
      <c r="C14" s="376">
        <f>SUM(C6:C13)</f>
        <v>8700</v>
      </c>
      <c r="D14" s="376">
        <f>SUM(D6:D13)</f>
        <v>0</v>
      </c>
      <c r="E14" s="376">
        <f>SUM(E6:E13)</f>
        <v>4801</v>
      </c>
      <c r="F14" s="376">
        <f>SUM(F6:F13)</f>
        <v>13501</v>
      </c>
      <c r="G14" s="13"/>
    </row>
    <row r="15" spans="1:8" ht="16.5" thickTop="1" x14ac:dyDescent="0.25">
      <c r="A15" s="81"/>
      <c r="B15" s="81"/>
      <c r="C15" s="13"/>
      <c r="D15" s="13"/>
      <c r="E15" s="13"/>
      <c r="F15" s="13"/>
      <c r="G15" s="13"/>
    </row>
  </sheetData>
  <pageMargins left="0.7" right="0.7" top="0.75" bottom="0.75" header="0.3" footer="0.3"/>
  <pageSetup scale="99" fitToHeight="0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G13"/>
  <sheetViews>
    <sheetView workbookViewId="0">
      <selection activeCell="B11" sqref="B11"/>
    </sheetView>
  </sheetViews>
  <sheetFormatPr defaultColWidth="8.85546875" defaultRowHeight="15" x14ac:dyDescent="0.25"/>
  <cols>
    <col min="1" max="1" width="45.140625" style="10" bestFit="1" customWidth="1"/>
    <col min="2" max="2" width="45.140625" style="10" customWidth="1"/>
    <col min="3" max="3" width="11.28515625" customWidth="1"/>
    <col min="4" max="4" width="11.5703125" bestFit="1" customWidth="1"/>
    <col min="5" max="5" width="10.140625" customWidth="1"/>
    <col min="6" max="6" width="11.5703125" bestFit="1" customWidth="1"/>
    <col min="7" max="7" width="11.28515625" customWidth="1"/>
  </cols>
  <sheetData>
    <row r="1" spans="1:7" ht="84.95" customHeight="1" x14ac:dyDescent="0.25">
      <c r="C1" s="1"/>
      <c r="D1" s="1"/>
      <c r="E1" s="1"/>
      <c r="F1" s="1"/>
      <c r="G1" s="11"/>
    </row>
    <row r="2" spans="1:7" ht="15.75" x14ac:dyDescent="0.25">
      <c r="A2" s="73"/>
      <c r="B2" s="73"/>
      <c r="C2" s="377" t="s">
        <v>346</v>
      </c>
      <c r="D2" s="378"/>
      <c r="E2" s="378"/>
      <c r="F2" s="378"/>
      <c r="G2" s="11"/>
    </row>
    <row r="3" spans="1:7" ht="31.5" x14ac:dyDescent="0.25">
      <c r="A3" s="88" t="s">
        <v>439</v>
      </c>
      <c r="B3" s="88"/>
      <c r="C3" s="142" t="s">
        <v>263</v>
      </c>
      <c r="D3" s="371" t="s">
        <v>269</v>
      </c>
      <c r="E3" s="370" t="s">
        <v>267</v>
      </c>
      <c r="F3" s="371" t="s">
        <v>266</v>
      </c>
      <c r="G3" s="143" t="s">
        <v>402</v>
      </c>
    </row>
    <row r="4" spans="1:7" ht="15.75" x14ac:dyDescent="0.25">
      <c r="A4" s="76" t="s">
        <v>412</v>
      </c>
      <c r="B4" s="76" t="s">
        <v>312</v>
      </c>
      <c r="C4" s="22"/>
      <c r="D4" s="380"/>
      <c r="E4" s="242"/>
      <c r="F4" s="380"/>
      <c r="G4" s="38"/>
    </row>
    <row r="5" spans="1:7" ht="15.75" x14ac:dyDescent="0.25">
      <c r="A5" s="75" t="s">
        <v>17</v>
      </c>
      <c r="B5" s="75" t="s">
        <v>440</v>
      </c>
      <c r="C5" s="18">
        <f>+Sheet1!C43</f>
        <v>1200</v>
      </c>
      <c r="D5" s="374"/>
      <c r="E5" s="273"/>
      <c r="F5" s="374"/>
      <c r="G5" s="21">
        <f>SUM(C5:F5)</f>
        <v>1200</v>
      </c>
    </row>
    <row r="6" spans="1:7" ht="15.75" x14ac:dyDescent="0.25">
      <c r="A6" s="75" t="s">
        <v>18</v>
      </c>
      <c r="B6" s="75" t="s">
        <v>440</v>
      </c>
      <c r="C6" s="18">
        <f>+Sheet1!C44</f>
        <v>14000</v>
      </c>
      <c r="D6" s="374">
        <f>+Sheet1!F44</f>
        <v>13000</v>
      </c>
      <c r="E6" s="273">
        <f>+Sheet1!H44</f>
        <v>5801</v>
      </c>
      <c r="F6" s="374">
        <f>+Sheet1!I44</f>
        <v>9980</v>
      </c>
      <c r="G6" s="21">
        <f t="shared" ref="G6:G11" si="0">SUM(C6:F6)</f>
        <v>42781</v>
      </c>
    </row>
    <row r="7" spans="1:7" ht="15.75" x14ac:dyDescent="0.25">
      <c r="A7" s="75" t="s">
        <v>32</v>
      </c>
      <c r="B7" s="75" t="s">
        <v>440</v>
      </c>
      <c r="C7" s="18">
        <f>+Sheet1!C45</f>
        <v>5000</v>
      </c>
      <c r="D7" s="374"/>
      <c r="E7" s="273"/>
      <c r="F7" s="374"/>
      <c r="G7" s="21">
        <f t="shared" si="0"/>
        <v>5000</v>
      </c>
    </row>
    <row r="8" spans="1:7" ht="15.75" x14ac:dyDescent="0.25">
      <c r="A8" s="75" t="s">
        <v>46</v>
      </c>
      <c r="B8" s="75" t="s">
        <v>440</v>
      </c>
      <c r="C8" s="18">
        <f>+Sheet1!C46</f>
        <v>1360</v>
      </c>
      <c r="D8" s="374"/>
      <c r="E8" s="273"/>
      <c r="F8" s="374"/>
      <c r="G8" s="21">
        <f t="shared" si="0"/>
        <v>1360</v>
      </c>
    </row>
    <row r="9" spans="1:7" ht="15.75" x14ac:dyDescent="0.25">
      <c r="A9" s="75" t="s">
        <v>422</v>
      </c>
      <c r="B9" s="75" t="s">
        <v>440</v>
      </c>
      <c r="C9" s="18">
        <f>+Sheet1!C47</f>
        <v>6500</v>
      </c>
      <c r="D9" s="374"/>
      <c r="E9" s="273"/>
      <c r="F9" s="374"/>
      <c r="G9" s="21">
        <f t="shared" si="0"/>
        <v>6500</v>
      </c>
    </row>
    <row r="10" spans="1:7" ht="15.75" x14ac:dyDescent="0.25">
      <c r="A10" s="75" t="s">
        <v>425</v>
      </c>
      <c r="B10" s="75" t="s">
        <v>440</v>
      </c>
      <c r="C10" s="18">
        <f>+Sheet1!C48</f>
        <v>1775</v>
      </c>
      <c r="D10" s="374"/>
      <c r="E10" s="273"/>
      <c r="F10" s="374">
        <f>+Sheet1!I48</f>
        <v>5225</v>
      </c>
      <c r="G10" s="21">
        <f t="shared" si="0"/>
        <v>7000</v>
      </c>
    </row>
    <row r="11" spans="1:7" ht="15.75" x14ac:dyDescent="0.25">
      <c r="A11" s="75" t="s">
        <v>427</v>
      </c>
      <c r="B11" s="75" t="s">
        <v>440</v>
      </c>
      <c r="C11" s="18">
        <f>+Sheet1!C49</f>
        <v>8000</v>
      </c>
      <c r="D11" s="374"/>
      <c r="E11" s="273"/>
      <c r="F11" s="374"/>
      <c r="G11" s="21">
        <f t="shared" si="0"/>
        <v>8000</v>
      </c>
    </row>
    <row r="12" spans="1:7" ht="26.1" customHeight="1" x14ac:dyDescent="0.25">
      <c r="A12" s="379" t="s">
        <v>35</v>
      </c>
      <c r="B12" s="379"/>
      <c r="C12" s="155">
        <f>SUM(C5:C11)</f>
        <v>37835</v>
      </c>
      <c r="D12" s="155">
        <f t="shared" ref="D12:F12" si="1">SUM(D5:D11)</f>
        <v>13000</v>
      </c>
      <c r="E12" s="155">
        <f t="shared" si="1"/>
        <v>5801</v>
      </c>
      <c r="F12" s="155">
        <f t="shared" si="1"/>
        <v>15205</v>
      </c>
      <c r="G12" s="155">
        <f>SUM(G5:G11)</f>
        <v>71841</v>
      </c>
    </row>
    <row r="13" spans="1:7" ht="15.75" x14ac:dyDescent="0.25">
      <c r="A13" s="81"/>
      <c r="B13" s="81"/>
      <c r="C13" s="13"/>
      <c r="D13" s="13"/>
      <c r="E13" s="13"/>
      <c r="F13" s="13"/>
      <c r="G13" s="13"/>
    </row>
  </sheetData>
  <pageMargins left="0.7" right="0.7" top="0.75" bottom="0.75" header="0.3" footer="0.3"/>
  <pageSetup scale="83" fitToHeight="0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24"/>
  <sheetViews>
    <sheetView workbookViewId="0">
      <selection activeCell="E8" sqref="E8"/>
    </sheetView>
  </sheetViews>
  <sheetFormatPr defaultColWidth="8.85546875" defaultRowHeight="15" x14ac:dyDescent="0.25"/>
  <cols>
    <col min="1" max="1" width="45.28515625" style="10" bestFit="1" customWidth="1"/>
    <col min="2" max="2" width="22.140625" style="10" bestFit="1" customWidth="1"/>
    <col min="3" max="3" width="11.7109375" customWidth="1"/>
    <col min="4" max="4" width="3.7109375" customWidth="1"/>
    <col min="5" max="5" width="12.28515625" customWidth="1"/>
  </cols>
  <sheetData>
    <row r="1" spans="1:5" ht="84.95" customHeight="1" x14ac:dyDescent="0.25">
      <c r="C1" s="1"/>
      <c r="D1" s="1"/>
      <c r="E1" s="1"/>
    </row>
    <row r="2" spans="1:5" ht="15.75" x14ac:dyDescent="0.25">
      <c r="A2" s="73"/>
      <c r="B2" s="73"/>
      <c r="C2" s="1"/>
      <c r="D2" s="1"/>
      <c r="E2" s="1"/>
    </row>
    <row r="3" spans="1:5" x14ac:dyDescent="0.25">
      <c r="A3" s="74"/>
      <c r="B3" s="74"/>
      <c r="C3" s="382" t="s">
        <v>347</v>
      </c>
      <c r="D3" s="131"/>
      <c r="E3" s="131"/>
    </row>
    <row r="4" spans="1:5" ht="50.1" customHeight="1" x14ac:dyDescent="0.25">
      <c r="A4" s="88" t="s">
        <v>436</v>
      </c>
      <c r="B4" s="88"/>
      <c r="C4" s="142" t="s">
        <v>263</v>
      </c>
      <c r="D4" s="381"/>
      <c r="E4" s="143" t="s">
        <v>402</v>
      </c>
    </row>
    <row r="5" spans="1:5" hidden="1" x14ac:dyDescent="0.25">
      <c r="A5" s="74" t="s">
        <v>225</v>
      </c>
      <c r="B5" s="74"/>
      <c r="C5" s="6">
        <v>170000</v>
      </c>
      <c r="D5" s="6"/>
      <c r="E5" s="8">
        <f>SUM(C5:C5)</f>
        <v>170000</v>
      </c>
    </row>
    <row r="6" spans="1:5" hidden="1" x14ac:dyDescent="0.25">
      <c r="A6" s="74" t="s">
        <v>226</v>
      </c>
      <c r="B6" s="74"/>
      <c r="C6" s="12">
        <f>+C23/C5</f>
        <v>0.41176470588235292</v>
      </c>
      <c r="D6" s="12"/>
      <c r="E6" s="8">
        <f>SUM(C6:C6)</f>
        <v>0.41176470588235292</v>
      </c>
    </row>
    <row r="7" spans="1:5" hidden="1" x14ac:dyDescent="0.25"/>
    <row r="8" spans="1:5" ht="15.75" x14ac:dyDescent="0.25">
      <c r="A8" s="76" t="s">
        <v>160</v>
      </c>
      <c r="B8" s="76" t="s">
        <v>348</v>
      </c>
      <c r="C8" s="22"/>
      <c r="D8" s="22"/>
      <c r="E8" s="38"/>
    </row>
    <row r="9" spans="1:5" ht="15.75" x14ac:dyDescent="0.25">
      <c r="A9" s="75" t="s">
        <v>232</v>
      </c>
      <c r="B9" s="75" t="s">
        <v>349</v>
      </c>
      <c r="C9" s="22">
        <f>+Sheet1!C53</f>
        <v>8800</v>
      </c>
      <c r="D9" s="22"/>
      <c r="E9" s="21">
        <f t="shared" ref="E9:E22" si="0">SUM(C9:C9)</f>
        <v>8800</v>
      </c>
    </row>
    <row r="10" spans="1:5" ht="15.75" x14ac:dyDescent="0.25">
      <c r="A10" s="75" t="s">
        <v>233</v>
      </c>
      <c r="B10" s="75" t="s">
        <v>350</v>
      </c>
      <c r="C10" s="22">
        <f>+Sheet1!C54</f>
        <v>3600</v>
      </c>
      <c r="D10" s="22"/>
      <c r="E10" s="21">
        <f t="shared" si="0"/>
        <v>3600</v>
      </c>
    </row>
    <row r="11" spans="1:5" ht="15.75" x14ac:dyDescent="0.25">
      <c r="A11" s="75" t="s">
        <v>22</v>
      </c>
      <c r="B11" s="75" t="s">
        <v>351</v>
      </c>
      <c r="C11" s="22">
        <f>+Sheet1!C55</f>
        <v>10600</v>
      </c>
      <c r="D11" s="22"/>
      <c r="E11" s="21">
        <f t="shared" si="0"/>
        <v>10600</v>
      </c>
    </row>
    <row r="12" spans="1:5" ht="15.75" x14ac:dyDescent="0.25">
      <c r="A12" s="75" t="s">
        <v>352</v>
      </c>
      <c r="B12" s="75" t="s">
        <v>353</v>
      </c>
      <c r="C12" s="22">
        <f>+Sheet1!C56</f>
        <v>1800</v>
      </c>
      <c r="D12" s="22"/>
      <c r="E12" s="21">
        <f t="shared" si="0"/>
        <v>1800</v>
      </c>
    </row>
    <row r="13" spans="1:5" ht="15.75" x14ac:dyDescent="0.25">
      <c r="A13" s="75" t="s">
        <v>24</v>
      </c>
      <c r="B13" s="75" t="s">
        <v>354</v>
      </c>
      <c r="C13" s="22">
        <f>+Sheet1!C57</f>
        <v>9400</v>
      </c>
      <c r="D13" s="18"/>
      <c r="E13" s="21">
        <f t="shared" si="0"/>
        <v>9400</v>
      </c>
    </row>
    <row r="14" spans="1:5" ht="15.75" x14ac:dyDescent="0.25">
      <c r="A14" s="75" t="s">
        <v>25</v>
      </c>
      <c r="B14" s="75" t="s">
        <v>355</v>
      </c>
      <c r="C14" s="22">
        <f>+Sheet1!C58</f>
        <v>3000</v>
      </c>
      <c r="D14" s="22"/>
      <c r="E14" s="21">
        <f t="shared" si="0"/>
        <v>3000</v>
      </c>
    </row>
    <row r="15" spans="1:5" ht="15.75" x14ac:dyDescent="0.25">
      <c r="A15" s="75" t="s">
        <v>356</v>
      </c>
      <c r="B15" s="75" t="s">
        <v>358</v>
      </c>
      <c r="C15" s="22">
        <f>+Sheet1!C59</f>
        <v>10600</v>
      </c>
      <c r="D15" s="22"/>
      <c r="E15" s="21">
        <f t="shared" si="0"/>
        <v>10600</v>
      </c>
    </row>
    <row r="16" spans="1:5" ht="15.75" x14ac:dyDescent="0.25">
      <c r="A16" s="75" t="s">
        <v>357</v>
      </c>
      <c r="B16" s="75" t="s">
        <v>359</v>
      </c>
      <c r="C16" s="22">
        <f>+Sheet1!C60</f>
        <v>1800</v>
      </c>
      <c r="D16" s="22"/>
      <c r="E16" s="21">
        <f t="shared" si="0"/>
        <v>1800</v>
      </c>
    </row>
    <row r="17" spans="1:5" ht="15.75" x14ac:dyDescent="0.25">
      <c r="A17" s="75" t="s">
        <v>26</v>
      </c>
      <c r="B17" s="75" t="s">
        <v>360</v>
      </c>
      <c r="C17" s="22">
        <f>+Sheet1!C61</f>
        <v>8800</v>
      </c>
      <c r="D17" s="22"/>
      <c r="E17" s="21">
        <f t="shared" si="0"/>
        <v>8800</v>
      </c>
    </row>
    <row r="18" spans="1:5" ht="15.75" x14ac:dyDescent="0.25">
      <c r="A18" s="75" t="s">
        <v>27</v>
      </c>
      <c r="B18" s="75" t="s">
        <v>361</v>
      </c>
      <c r="C18" s="22">
        <f>+Sheet1!C62</f>
        <v>3600</v>
      </c>
      <c r="D18" s="22"/>
      <c r="E18" s="21">
        <f t="shared" si="0"/>
        <v>3600</v>
      </c>
    </row>
    <row r="19" spans="1:5" ht="15.75" x14ac:dyDescent="0.25">
      <c r="A19" s="75" t="s">
        <v>222</v>
      </c>
      <c r="B19" s="75" t="s">
        <v>362</v>
      </c>
      <c r="C19" s="22">
        <f>+Sheet1!C63</f>
        <v>12400</v>
      </c>
      <c r="D19" s="22"/>
      <c r="E19" s="21">
        <f t="shared" si="0"/>
        <v>12400</v>
      </c>
    </row>
    <row r="20" spans="1:5" ht="15.75" x14ac:dyDescent="0.25">
      <c r="A20" s="75" t="s">
        <v>28</v>
      </c>
      <c r="B20" s="75" t="s">
        <v>363</v>
      </c>
      <c r="C20" s="22">
        <f>+Sheet1!C64</f>
        <v>0</v>
      </c>
      <c r="D20" s="22"/>
      <c r="E20" s="21">
        <f t="shared" si="0"/>
        <v>0</v>
      </c>
    </row>
    <row r="21" spans="1:5" ht="15.75" x14ac:dyDescent="0.25">
      <c r="A21" s="75" t="s">
        <v>159</v>
      </c>
      <c r="B21" s="75" t="s">
        <v>364</v>
      </c>
      <c r="C21" s="22">
        <f>+Sheet1!C65</f>
        <v>-6200</v>
      </c>
      <c r="D21" s="22"/>
      <c r="E21" s="21">
        <f t="shared" si="0"/>
        <v>-6200</v>
      </c>
    </row>
    <row r="22" spans="1:5" ht="15.75" x14ac:dyDescent="0.25">
      <c r="A22" s="75" t="s">
        <v>158</v>
      </c>
      <c r="B22" s="75" t="s">
        <v>365</v>
      </c>
      <c r="C22" s="22">
        <f>+Sheet1!C66</f>
        <v>1800</v>
      </c>
      <c r="D22" s="22"/>
      <c r="E22" s="21">
        <f t="shared" si="0"/>
        <v>1800</v>
      </c>
    </row>
    <row r="23" spans="1:5" ht="29.1" customHeight="1" thickBot="1" x14ac:dyDescent="0.3">
      <c r="A23" s="259" t="s">
        <v>29</v>
      </c>
      <c r="B23" s="259"/>
      <c r="C23" s="383">
        <f t="shared" ref="C23" si="1">SUM(C9:C22)</f>
        <v>70000</v>
      </c>
      <c r="D23" s="383"/>
      <c r="E23" s="383">
        <f>SUM(E9:E22)</f>
        <v>70000</v>
      </c>
    </row>
    <row r="24" spans="1:5" ht="15.75" thickTop="1" x14ac:dyDescent="0.25"/>
  </sheetData>
  <pageMargins left="0.7" right="0.7" top="0.75" bottom="0.75" header="0.3" footer="0.3"/>
  <pageSetup scale="95" fitToHeight="0" orientation="portrait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93C06-6F39-4248-B629-0C66028165E6}">
  <dimension ref="A1:E11"/>
  <sheetViews>
    <sheetView workbookViewId="0">
      <selection activeCell="C6" sqref="C6"/>
    </sheetView>
  </sheetViews>
  <sheetFormatPr defaultRowHeight="15" x14ac:dyDescent="0.25"/>
  <cols>
    <col min="1" max="1" width="44.140625" bestFit="1" customWidth="1"/>
    <col min="2" max="2" width="22.140625" bestFit="1" customWidth="1"/>
    <col min="3" max="3" width="10.42578125" bestFit="1" customWidth="1"/>
    <col min="4" max="4" width="3.7109375" customWidth="1"/>
  </cols>
  <sheetData>
    <row r="1" spans="1:5" ht="84.95" customHeight="1" x14ac:dyDescent="0.25">
      <c r="A1" s="10"/>
      <c r="B1" s="10"/>
      <c r="C1" s="1"/>
      <c r="D1" s="1"/>
      <c r="E1" s="1"/>
    </row>
    <row r="2" spans="1:5" ht="15.75" x14ac:dyDescent="0.25">
      <c r="A2" s="73"/>
      <c r="B2" s="73"/>
      <c r="C2" s="1"/>
      <c r="D2" s="1"/>
      <c r="E2" s="1"/>
    </row>
    <row r="3" spans="1:5" x14ac:dyDescent="0.25">
      <c r="A3" s="74"/>
      <c r="B3" s="74"/>
      <c r="C3" s="382" t="s">
        <v>347</v>
      </c>
      <c r="D3" s="131"/>
      <c r="E3" s="131"/>
    </row>
    <row r="4" spans="1:5" ht="47.25" x14ac:dyDescent="0.25">
      <c r="A4" s="88" t="s">
        <v>437</v>
      </c>
      <c r="B4" s="88"/>
      <c r="C4" s="142" t="s">
        <v>108</v>
      </c>
      <c r="D4" s="381"/>
      <c r="E4" s="143" t="s">
        <v>402</v>
      </c>
    </row>
    <row r="5" spans="1:5" ht="15.75" x14ac:dyDescent="0.25">
      <c r="A5" s="76" t="s">
        <v>154</v>
      </c>
      <c r="B5" s="76" t="s">
        <v>348</v>
      </c>
      <c r="C5" s="22"/>
      <c r="D5" s="22"/>
      <c r="E5" s="38"/>
    </row>
    <row r="6" spans="1:5" ht="15.75" x14ac:dyDescent="0.25">
      <c r="A6" s="75" t="s">
        <v>39</v>
      </c>
      <c r="B6" s="75" t="s">
        <v>366</v>
      </c>
      <c r="C6" s="22">
        <f>+Sheet1!B94</f>
        <v>2500</v>
      </c>
      <c r="D6" s="22"/>
      <c r="E6" s="21">
        <f>+C6</f>
        <v>2500</v>
      </c>
    </row>
    <row r="7" spans="1:5" ht="15.75" x14ac:dyDescent="0.25">
      <c r="A7" s="75" t="s">
        <v>40</v>
      </c>
      <c r="B7" s="75" t="s">
        <v>367</v>
      </c>
      <c r="C7" s="22">
        <f>+Sheet1!B95</f>
        <v>0</v>
      </c>
      <c r="D7" s="22"/>
      <c r="E7" s="21">
        <f t="shared" ref="E7:E9" si="0">+C7</f>
        <v>0</v>
      </c>
    </row>
    <row r="8" spans="1:5" ht="15.75" x14ac:dyDescent="0.25">
      <c r="A8" s="75" t="s">
        <v>41</v>
      </c>
      <c r="B8" s="75" t="s">
        <v>368</v>
      </c>
      <c r="C8" s="22">
        <f>+Sheet1!B96</f>
        <v>500</v>
      </c>
      <c r="D8" s="22"/>
      <c r="E8" s="21">
        <f t="shared" si="0"/>
        <v>500</v>
      </c>
    </row>
    <row r="9" spans="1:5" ht="15.75" x14ac:dyDescent="0.25">
      <c r="A9" s="75" t="s">
        <v>42</v>
      </c>
      <c r="B9" s="75" t="s">
        <v>369</v>
      </c>
      <c r="C9" s="22">
        <f>+Sheet1!B97</f>
        <v>1300</v>
      </c>
      <c r="D9" s="22"/>
      <c r="E9" s="21">
        <f t="shared" si="0"/>
        <v>1300</v>
      </c>
    </row>
    <row r="10" spans="1:5" ht="16.5" thickBot="1" x14ac:dyDescent="0.3">
      <c r="A10" s="384" t="s">
        <v>43</v>
      </c>
      <c r="B10" s="75"/>
      <c r="C10" s="385">
        <f>SUM(C6:C9)</f>
        <v>4300</v>
      </c>
      <c r="D10" s="386"/>
      <c r="E10" s="386">
        <f>SUM(E6:E9)</f>
        <v>4300</v>
      </c>
    </row>
    <row r="11" spans="1:5" ht="15.75" thickTop="1" x14ac:dyDescent="0.25">
      <c r="A11" s="10"/>
      <c r="B11" s="10"/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9C2A6-A571-4D3A-BA55-7A12726303AF}">
  <dimension ref="A1:E16"/>
  <sheetViews>
    <sheetView workbookViewId="0">
      <selection activeCell="A18" sqref="A18"/>
    </sheetView>
  </sheetViews>
  <sheetFormatPr defaultRowHeight="15" x14ac:dyDescent="0.25"/>
  <cols>
    <col min="1" max="1" width="44.85546875" bestFit="1" customWidth="1"/>
    <col min="2" max="2" width="22.140625" bestFit="1" customWidth="1"/>
    <col min="4" max="4" width="10.28515625" bestFit="1" customWidth="1"/>
    <col min="5" max="5" width="9.7109375" bestFit="1" customWidth="1"/>
  </cols>
  <sheetData>
    <row r="1" spans="1:5" ht="84.95" customHeight="1" x14ac:dyDescent="0.25">
      <c r="A1" s="10"/>
      <c r="B1" s="10"/>
      <c r="C1" s="1"/>
      <c r="D1" s="1"/>
      <c r="E1" s="1"/>
    </row>
    <row r="2" spans="1:5" ht="15.75" x14ac:dyDescent="0.25">
      <c r="A2" s="73"/>
      <c r="B2" s="73"/>
      <c r="C2" s="1"/>
      <c r="D2" s="1"/>
      <c r="E2" s="1"/>
    </row>
    <row r="3" spans="1:5" x14ac:dyDescent="0.25">
      <c r="A3" s="74"/>
      <c r="B3" s="74"/>
      <c r="C3" s="382" t="s">
        <v>374</v>
      </c>
      <c r="D3" s="388"/>
      <c r="E3" s="131"/>
    </row>
    <row r="4" spans="1:5" ht="31.5" x14ac:dyDescent="0.25">
      <c r="A4" s="88" t="s">
        <v>438</v>
      </c>
      <c r="B4" s="88"/>
      <c r="C4" s="142" t="s">
        <v>108</v>
      </c>
      <c r="D4" s="389" t="s">
        <v>282</v>
      </c>
      <c r="E4" s="143" t="s">
        <v>402</v>
      </c>
    </row>
    <row r="5" spans="1:5" ht="15.75" x14ac:dyDescent="0.25">
      <c r="A5" s="76" t="s">
        <v>80</v>
      </c>
      <c r="B5" s="76" t="s">
        <v>348</v>
      </c>
      <c r="C5" s="22"/>
      <c r="D5" s="22"/>
      <c r="E5" s="38"/>
    </row>
    <row r="6" spans="1:5" ht="15.75" x14ac:dyDescent="0.25">
      <c r="A6" s="75" t="s">
        <v>81</v>
      </c>
      <c r="B6" s="75" t="s">
        <v>370</v>
      </c>
      <c r="C6" s="22">
        <f>+Sheet1!B213</f>
        <v>1200</v>
      </c>
      <c r="D6" s="22"/>
      <c r="E6" s="21">
        <f>SUM(C6:D6)</f>
        <v>1200</v>
      </c>
    </row>
    <row r="7" spans="1:5" ht="15.75" x14ac:dyDescent="0.25">
      <c r="A7" s="75" t="s">
        <v>82</v>
      </c>
      <c r="B7" s="75" t="s">
        <v>371</v>
      </c>
      <c r="C7" s="22">
        <f>+Sheet1!B214</f>
        <v>600</v>
      </c>
      <c r="D7" s="22"/>
      <c r="E7" s="21">
        <f t="shared" ref="E7:E10" si="0">SUM(C7:D7)</f>
        <v>600</v>
      </c>
    </row>
    <row r="8" spans="1:5" ht="15.75" x14ac:dyDescent="0.25">
      <c r="A8" s="75" t="s">
        <v>83</v>
      </c>
      <c r="B8" s="75" t="s">
        <v>372</v>
      </c>
      <c r="C8" s="22">
        <f>+Sheet1!B215</f>
        <v>1000</v>
      </c>
      <c r="D8" s="22"/>
      <c r="E8" s="21">
        <f t="shared" si="0"/>
        <v>1000</v>
      </c>
    </row>
    <row r="9" spans="1:5" ht="15.75" x14ac:dyDescent="0.25">
      <c r="A9" s="75" t="s">
        <v>84</v>
      </c>
      <c r="B9" s="75" t="s">
        <v>373</v>
      </c>
      <c r="C9" s="22">
        <f>+Sheet1!B216</f>
        <v>700</v>
      </c>
      <c r="D9" s="22"/>
      <c r="E9" s="21">
        <f t="shared" si="0"/>
        <v>700</v>
      </c>
    </row>
    <row r="10" spans="1:5" ht="15.75" x14ac:dyDescent="0.25">
      <c r="A10" s="75" t="s">
        <v>309</v>
      </c>
      <c r="B10" s="387" t="s">
        <v>343</v>
      </c>
      <c r="D10" s="17">
        <f>+Sheet1!J217</f>
        <v>20000</v>
      </c>
      <c r="E10" s="21">
        <f t="shared" si="0"/>
        <v>20000</v>
      </c>
    </row>
    <row r="11" spans="1:5" ht="16.5" thickBot="1" x14ac:dyDescent="0.3">
      <c r="A11" s="259" t="s">
        <v>85</v>
      </c>
      <c r="B11" s="10"/>
      <c r="C11" s="385">
        <f>SUM(C6:C10)</f>
        <v>3500</v>
      </c>
      <c r="D11" s="385">
        <f>SUM(D6:D10)</f>
        <v>20000</v>
      </c>
      <c r="E11" s="386">
        <f>SUM(E6:E10)</f>
        <v>23500</v>
      </c>
    </row>
    <row r="12" spans="1:5" ht="15.75" thickTop="1" x14ac:dyDescent="0.25"/>
    <row r="13" spans="1:5" ht="15.75" x14ac:dyDescent="0.25">
      <c r="A13" s="76" t="s">
        <v>86</v>
      </c>
      <c r="B13" s="242"/>
    </row>
    <row r="14" spans="1:5" ht="15.75" x14ac:dyDescent="0.25">
      <c r="A14" s="75" t="s">
        <v>87</v>
      </c>
      <c r="B14" s="390" t="s">
        <v>375</v>
      </c>
      <c r="C14" s="22">
        <f>+Sheet1!B221</f>
        <v>5100</v>
      </c>
      <c r="E14" s="21">
        <f t="shared" ref="E14" si="1">SUM(C14:D14)</f>
        <v>5100</v>
      </c>
    </row>
    <row r="15" spans="1:5" ht="16.5" thickBot="1" x14ac:dyDescent="0.3">
      <c r="A15" s="375" t="s">
        <v>88</v>
      </c>
      <c r="B15" s="241"/>
      <c r="C15" s="391">
        <f>SUM(C14:C14)</f>
        <v>5100</v>
      </c>
      <c r="D15" s="391">
        <f>SUM(D14:D14)</f>
        <v>0</v>
      </c>
      <c r="E15" s="391">
        <f>SUM(E14:E14)</f>
        <v>5100</v>
      </c>
    </row>
    <row r="16" spans="1:5" ht="15.75" thickTop="1" x14ac:dyDescent="0.25"/>
  </sheetData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11</vt:i4>
      </vt:variant>
    </vt:vector>
  </HeadingPairs>
  <TitlesOfParts>
    <vt:vector size="20" baseType="lpstr">
      <vt:lpstr>Sheet1</vt:lpstr>
      <vt:lpstr>Condensed</vt:lpstr>
      <vt:lpstr>SLD</vt:lpstr>
      <vt:lpstr>Recon</vt:lpstr>
      <vt:lpstr>COM</vt:lpstr>
      <vt:lpstr>Thriving</vt:lpstr>
      <vt:lpstr>Min. Grps</vt:lpstr>
      <vt:lpstr>CPM</vt:lpstr>
      <vt:lpstr>Steering</vt:lpstr>
      <vt:lpstr>COM!Print_Area</vt:lpstr>
      <vt:lpstr>Condensed!Print_Area</vt:lpstr>
      <vt:lpstr>CPM!Print_Area</vt:lpstr>
      <vt:lpstr>'Min. Grps'!Print_Area</vt:lpstr>
      <vt:lpstr>Recon!Print_Area</vt:lpstr>
      <vt:lpstr>Sheet1!Print_Area</vt:lpstr>
      <vt:lpstr>SLD!Print_Area</vt:lpstr>
      <vt:lpstr>Steering!Print_Area</vt:lpstr>
      <vt:lpstr>Thriving!Print_Area</vt:lpstr>
      <vt:lpstr>Condensed!Print_Titles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</dc:creator>
  <cp:lastModifiedBy>Laura  mullen</cp:lastModifiedBy>
  <cp:lastPrinted>2026-02-17T16:54:54Z</cp:lastPrinted>
  <dcterms:created xsi:type="dcterms:W3CDTF">2016-07-05T19:15:35Z</dcterms:created>
  <dcterms:modified xsi:type="dcterms:W3CDTF">2026-02-17T16:55:36Z</dcterms:modified>
</cp:coreProperties>
</file>